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-21072020\Downloads\"/>
    </mc:Choice>
  </mc:AlternateContent>
  <bookViews>
    <workbookView xWindow="0" yWindow="0" windowWidth="20490" windowHeight="7800" tabRatio="889"/>
  </bookViews>
  <sheets>
    <sheet name="สรุป" sheetId="1" r:id="rId1"/>
    <sheet name="สนผ.1" sheetId="13" r:id="rId2"/>
    <sheet name="สบจ.2" sheetId="23" r:id="rId3"/>
    <sheet name="สกถ.3" sheetId="14" r:id="rId4"/>
    <sheet name="สกม.6" sheetId="25" r:id="rId5"/>
    <sheet name="สน.7" sheetId="29" r:id="rId6"/>
    <sheet name="กก.10" sheetId="28" r:id="rId7"/>
    <sheet name="กจ.11" sheetId="15" r:id="rId8"/>
    <sheet name="กยป.12" sheetId="21" r:id="rId9"/>
    <sheet name="กค.20" sheetId="60" r:id="rId10"/>
    <sheet name="ศสส.4" sheetId="39" r:id="rId11"/>
    <sheet name="ศสข.1 พระนครศรีอยุธยา" sheetId="54" r:id="rId12"/>
    <sheet name="ศสข.2 ชลบุรี" sheetId="55" r:id="rId13"/>
    <sheet name="ศสข.3 นครปฐม" sheetId="52" r:id="rId14"/>
    <sheet name="ศสข.4 นครราชสีมา" sheetId="32" r:id="rId15"/>
    <sheet name="ศสข.5 อุดรธานี" sheetId="45" r:id="rId16"/>
    <sheet name="ศสข.6 ขอนแก่น" sheetId="33" r:id="rId17"/>
    <sheet name="ศสข.7 เชียงใหม่" sheetId="42" r:id="rId18"/>
    <sheet name="ศสข.8 พิษณุโลก" sheetId="16" r:id="rId19"/>
    <sheet name="ศสข.9 นครสวรรค์" sheetId="49" r:id="rId20"/>
    <sheet name="ศสข.10 สุราษฎร์ธานี" sheetId="53" r:id="rId21"/>
    <sheet name="ศสข.11 นครศรีธรรมราช" sheetId="40" r:id="rId22"/>
    <sheet name="ศสข.12 สงขลา" sheetId="37" r:id="rId23"/>
    <sheet name="สมุทรปราการ 1100" sheetId="30" r:id="rId24"/>
    <sheet name="อยุธยา 1400" sheetId="47" r:id="rId25"/>
    <sheet name="อ่างทอง 1500" sheetId="27" r:id="rId26"/>
    <sheet name="สระบุรี 1900" sheetId="61" r:id="rId27"/>
    <sheet name="จันทบุรี 2200" sheetId="44" r:id="rId28"/>
    <sheet name="ตราด 2300" sheetId="24" r:id="rId29"/>
    <sheet name="ฉะเชิงเทรา 2400" sheetId="56" r:id="rId30"/>
    <sheet name="นครราชสีมา 3000" sheetId="3" r:id="rId31"/>
    <sheet name="บุรีรัมย์ 3100" sheetId="58" r:id="rId32"/>
    <sheet name="ศรีสะเกษ 3300" sheetId="22" r:id="rId33"/>
    <sheet name="ยโสธร 3500" sheetId="46" r:id="rId34"/>
    <sheet name="อำนาจเจริญ 3700" sheetId="10" r:id="rId35"/>
    <sheet name="ขอนแก่น 4000" sheetId="57" r:id="rId36"/>
    <sheet name="อุดรธานี 4100" sheetId="11" r:id="rId37"/>
    <sheet name="หนองคาย 4300" sheetId="38" r:id="rId38"/>
    <sheet name="ร้อยเอ็ด 4500" sheetId="41" r:id="rId39"/>
    <sheet name="มุกดาหาร 4900" sheetId="5" r:id="rId40"/>
    <sheet name="เชียงใหม่ 5000" sheetId="12" r:id="rId41"/>
    <sheet name="ลำพูน 5100" sheetId="36" r:id="rId42"/>
    <sheet name="พะเยา 5600" sheetId="50" r:id="rId43"/>
    <sheet name="แม่ฮ่องสอน 5800" sheetId="6" r:id="rId44"/>
    <sheet name="นครสวรรค์ 6000" sheetId="31" r:id="rId45"/>
    <sheet name="อุทัยธานี 6100" sheetId="17" r:id="rId46"/>
    <sheet name="กำแพงเพชร 6200" sheetId="19" r:id="rId47"/>
    <sheet name="ตาก 6300" sheetId="2" r:id="rId48"/>
    <sheet name="เพชรบูรณ์ 6700" sheetId="34" r:id="rId49"/>
    <sheet name="กาญจนบุรี 7100" sheetId="59" r:id="rId50"/>
    <sheet name="นครปฐม 7300" sheetId="20" r:id="rId51"/>
    <sheet name="สมุทรสงคราม 7500" sheetId="43" r:id="rId52"/>
    <sheet name="ประจวบคีรีขันธ์ 7700" sheetId="35" r:id="rId53"/>
    <sheet name="นครศรีธรรมราช 8000" sheetId="4" r:id="rId54"/>
    <sheet name="กระบี่ 8100" sheetId="51" r:id="rId55"/>
    <sheet name="ระนอง 8500" sheetId="8" r:id="rId56"/>
    <sheet name="สงขลา 9000" sheetId="9" r:id="rId57"/>
    <sheet name="ตรัง 9200" sheetId="48" r:id="rId58"/>
    <sheet name="พัทลุง 9300" sheetId="26" r:id="rId59"/>
    <sheet name="ปัตตานี 9400" sheetId="18" r:id="rId60"/>
    <sheet name="ยะลา 9500" sheetId="7" r:id="rId61"/>
  </sheets>
  <definedNames>
    <definedName name="_xlnm.Print_Area" localSheetId="6">กก.10!$A$1:$J$20</definedName>
    <definedName name="_xlnm.Print_Area" localSheetId="9">กค.20!$A$1:$J$13</definedName>
    <definedName name="_xlnm.Print_Area" localSheetId="7">กจ.11!$A$1:$J$19</definedName>
    <definedName name="_xlnm.Print_Area" localSheetId="8">กยป.12!$A$1:$J$19</definedName>
    <definedName name="_xlnm.Print_Area" localSheetId="54">'กระบี่ 8100'!$A$1:$J$14</definedName>
    <definedName name="_xlnm.Print_Area" localSheetId="49">'กาญจนบุรี 7100'!$A$1:$J$11</definedName>
    <definedName name="_xlnm.Print_Area" localSheetId="46">'กำแพงเพชร 6200'!$A$1:$J$15</definedName>
    <definedName name="_xlnm.Print_Area" localSheetId="35">'ขอนแก่น 4000'!$A$1:$J$11</definedName>
    <definedName name="_xlnm.Print_Area" localSheetId="27">'จันทบุรี 2200'!$A$1:$J$1045762</definedName>
    <definedName name="_xlnm.Print_Area" localSheetId="29">'ฉะเชิงเทรา 2400'!$A$1:$J$12</definedName>
    <definedName name="_xlnm.Print_Area" localSheetId="40">'เชียงใหม่ 5000'!$A$1:$J$19</definedName>
    <definedName name="_xlnm.Print_Area" localSheetId="57">'ตรัง 9200'!$A$1:$J$15</definedName>
    <definedName name="_xlnm.Print_Area" localSheetId="28">'ตราด 2300'!$A$1:$J$15</definedName>
    <definedName name="_xlnm.Print_Area" localSheetId="47">'ตาก 6300'!$A$1:$J$10</definedName>
    <definedName name="_xlnm.Print_Area" localSheetId="50">'นครปฐม 7300'!$A$1:$J$23</definedName>
    <definedName name="_xlnm.Print_Area" localSheetId="30">'นครราชสีมา 3000'!$A$1:$J$11</definedName>
    <definedName name="_xlnm.Print_Area" localSheetId="53">'นครศรีธรรมราช 8000'!$A$1:$J$12</definedName>
    <definedName name="_xlnm.Print_Area" localSheetId="44">'นครสวรรค์ 6000'!$A$1:$J$12</definedName>
    <definedName name="_xlnm.Print_Area" localSheetId="31">'บุรีรัมย์ 3100'!$A$1:$J$13</definedName>
    <definedName name="_xlnm.Print_Area" localSheetId="52">'ประจวบคีรีขันธ์ 7700'!$A$1:$J$22</definedName>
    <definedName name="_xlnm.Print_Area" localSheetId="59">'ปัตตานี 9400'!$A$1:$J$19</definedName>
    <definedName name="_xlnm.Print_Area" localSheetId="42">'พะเยา 5600'!$A$1:$J$12</definedName>
    <definedName name="_xlnm.Print_Area" localSheetId="58">'พัทลุง 9300'!$A$1:$J$14</definedName>
    <definedName name="_xlnm.Print_Area" localSheetId="48">'เพชรบูรณ์ 6700'!$A$1:$J$12</definedName>
    <definedName name="_xlnm.Print_Area" localSheetId="39">'มุกดาหาร 4900'!$A$1:$J$11</definedName>
    <definedName name="_xlnm.Print_Area" localSheetId="43">'แม่ฮ่องสอน 5800'!$A$1:$J$21</definedName>
    <definedName name="_xlnm.Print_Area" localSheetId="33">'ยโสธร 3500'!$A$1:$J$13</definedName>
    <definedName name="_xlnm.Print_Area" localSheetId="60">'ยะลา 9500'!$A$1:$J$13</definedName>
    <definedName name="_xlnm.Print_Area" localSheetId="38">'ร้อยเอ็ด 4500'!$A$1:$J$11</definedName>
    <definedName name="_xlnm.Print_Area" localSheetId="55">'ระนอง 8500'!$A$1:$J$14</definedName>
    <definedName name="_xlnm.Print_Area" localSheetId="41">'ลำพูน 5100'!$A$1:$J$11</definedName>
    <definedName name="_xlnm.Print_Area" localSheetId="32">'ศรีสะเกษ 3300'!$A$1:$J$16</definedName>
    <definedName name="_xlnm.Print_Area" localSheetId="11">'ศสข.1 พระนครศรีอยุธยา'!$A$1:$J$14</definedName>
    <definedName name="_xlnm.Print_Area" localSheetId="20">'ศสข.10 สุราษฎร์ธานี'!$A$1:$J$17</definedName>
    <definedName name="_xlnm.Print_Area" localSheetId="21">'ศสข.11 นครศรีธรรมราช'!$A$1:$J$23</definedName>
    <definedName name="_xlnm.Print_Area" localSheetId="22">'ศสข.12 สงขลา'!$A$1:$J$23</definedName>
    <definedName name="_xlnm.Print_Area" localSheetId="12">'ศสข.2 ชลบุรี'!$A$1:$J$12</definedName>
    <definedName name="_xlnm.Print_Area" localSheetId="13">'ศสข.3 นครปฐม'!$A$1:$J$21</definedName>
    <definedName name="_xlnm.Print_Area" localSheetId="14">'ศสข.4 นครราชสีมา'!$A$1:$J$17</definedName>
    <definedName name="_xlnm.Print_Area" localSheetId="15">'ศสข.5 อุดรธานี'!$A$1:$J$14</definedName>
    <definedName name="_xlnm.Print_Area" localSheetId="16">'ศสข.6 ขอนแก่น'!$A$1:$J$16</definedName>
    <definedName name="_xlnm.Print_Area" localSheetId="17">'ศสข.7 เชียงใหม่'!$A$1:$J$19</definedName>
    <definedName name="_xlnm.Print_Area" localSheetId="18">'ศสข.8 พิษณุโลก'!$A$1:$J$20</definedName>
    <definedName name="_xlnm.Print_Area" localSheetId="19">'ศสข.9 นครสวรรค์'!$A$1:$J$14</definedName>
    <definedName name="_xlnm.Print_Area" localSheetId="10">ศสส.4!$A$1:$J$16</definedName>
    <definedName name="_xlnm.Print_Area" localSheetId="3">สกถ.3!$A$1:$J$19</definedName>
    <definedName name="_xlnm.Print_Area" localSheetId="4">สกม.6!$A$1:$J$15</definedName>
    <definedName name="_xlnm.Print_Area" localSheetId="56">'สงขลา 9000'!$A$1:$J$14</definedName>
    <definedName name="_xlnm.Print_Area" localSheetId="5">สน.7!$A$1:$J$20</definedName>
    <definedName name="_xlnm.Print_Area" localSheetId="1">สนผ.1!$A$1:$J$19</definedName>
    <definedName name="_xlnm.Print_Area" localSheetId="2">สบจ.2!$A$1:$J$20</definedName>
    <definedName name="_xlnm.Print_Area" localSheetId="23">'สมุทรปราการ 1100'!$A$1:$J$15</definedName>
    <definedName name="_xlnm.Print_Area" localSheetId="51">'สมุทรสงคราม 7500'!$A$1:$J$13</definedName>
    <definedName name="_xlnm.Print_Area" localSheetId="26">'สระบุรี 1900'!$A$1:$J$15</definedName>
    <definedName name="_xlnm.Print_Area" localSheetId="37">'หนองคาย 4300'!$A$1:$J$11</definedName>
    <definedName name="_xlnm.Print_Area" localSheetId="24">'อยุธยา 1400'!$A$1:$J$13</definedName>
    <definedName name="_xlnm.Print_Area" localSheetId="25">'อ่างทอง 1500'!$A$1:$J$13</definedName>
    <definedName name="_xlnm.Print_Area" localSheetId="36">'อุดรธานี 4100'!$A$1:$J$14</definedName>
    <definedName name="_xlnm.Print_Area" localSheetId="45">'อุทัยธานี 6100'!$A$1:$J$33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7" l="1"/>
  <c r="E14" i="53"/>
  <c r="E17" i="16" l="1"/>
  <c r="E13" i="33"/>
  <c r="E12" i="32"/>
  <c r="E9" i="52"/>
  <c r="E13" i="22" l="1"/>
  <c r="E12" i="22"/>
  <c r="E8" i="24"/>
  <c r="E13" i="24" s="1"/>
  <c r="D35" i="1" s="1"/>
  <c r="E12" i="24"/>
  <c r="E11" i="24"/>
  <c r="E10" i="24"/>
  <c r="E9" i="24"/>
  <c r="E8" i="61" l="1"/>
  <c r="E13" i="61" s="1"/>
  <c r="D33" i="1" s="1"/>
  <c r="E11" i="61"/>
  <c r="E9" i="60"/>
  <c r="E11" i="60"/>
  <c r="D15" i="1" s="1"/>
  <c r="E11" i="7" l="1"/>
  <c r="D67" i="1" s="1"/>
  <c r="E10" i="4"/>
  <c r="E10" i="43" l="1"/>
  <c r="E10" i="2"/>
  <c r="D54" i="1" s="1"/>
  <c r="E11" i="19"/>
  <c r="E10" i="31"/>
  <c r="D51" i="1" s="1"/>
  <c r="E15" i="6"/>
  <c r="E17" i="6"/>
  <c r="E16" i="12"/>
  <c r="E10" i="5"/>
  <c r="D46" i="1" s="1"/>
  <c r="E13" i="11"/>
  <c r="D43" i="1" s="1"/>
  <c r="E11" i="11"/>
  <c r="E8" i="11"/>
  <c r="E8" i="57" l="1"/>
  <c r="E10" i="57" s="1"/>
  <c r="D42" i="1" s="1"/>
  <c r="E12" i="10"/>
  <c r="D41" i="1" s="1"/>
  <c r="E10" i="10"/>
  <c r="E8" i="10"/>
  <c r="E8" i="58"/>
  <c r="E10" i="58" s="1"/>
  <c r="D38" i="1" s="1"/>
  <c r="E8" i="3"/>
  <c r="E10" i="3" s="1"/>
  <c r="D37" i="1" s="1"/>
  <c r="E19" i="37"/>
  <c r="E14" i="37"/>
  <c r="E18" i="40"/>
  <c r="E8" i="53"/>
  <c r="E13" i="53"/>
  <c r="E10" i="49"/>
  <c r="E16" i="16"/>
  <c r="E15" i="42"/>
  <c r="E12" i="33"/>
  <c r="E10" i="33"/>
  <c r="E11" i="33"/>
  <c r="E14" i="52"/>
  <c r="E8" i="52"/>
  <c r="E10" i="54"/>
  <c r="E8" i="54"/>
  <c r="E16" i="29"/>
  <c r="E15" i="23"/>
  <c r="E15" i="21"/>
  <c r="E12" i="39"/>
  <c r="E10" i="59"/>
  <c r="D56" i="1" s="1"/>
  <c r="E17" i="52"/>
  <c r="E16" i="52" s="1"/>
  <c r="E9" i="56"/>
  <c r="E8" i="56" s="1"/>
  <c r="E10" i="56" s="1"/>
  <c r="D36" i="1" s="1"/>
  <c r="E30" i="17"/>
  <c r="E29" i="17" s="1"/>
  <c r="E14" i="42"/>
  <c r="E13" i="42"/>
  <c r="E15" i="37"/>
  <c r="E17" i="40"/>
  <c r="E16" i="40" s="1"/>
  <c r="E12" i="42"/>
  <c r="E11" i="42" s="1"/>
  <c r="E9" i="55"/>
  <c r="E10" i="55" s="1"/>
  <c r="D18" i="1" s="1"/>
  <c r="E12" i="53"/>
  <c r="E11" i="53" s="1"/>
  <c r="E14" i="32"/>
  <c r="E13" i="32" s="1"/>
  <c r="E15" i="52"/>
  <c r="E16" i="18"/>
  <c r="E14" i="18" s="1"/>
  <c r="E20" i="20"/>
  <c r="E19" i="20" s="1"/>
  <c r="E14" i="6"/>
  <c r="E13" i="6" s="1"/>
  <c r="E11" i="39"/>
  <c r="E11" i="37"/>
  <c r="E15" i="53" l="1"/>
  <c r="D26" i="1" s="1"/>
  <c r="E12" i="54"/>
  <c r="D17" i="1" s="1"/>
  <c r="E8" i="55"/>
  <c r="E19" i="52"/>
  <c r="D19" i="1" s="1"/>
  <c r="E15" i="16"/>
  <c r="E10" i="42"/>
  <c r="E12" i="6"/>
  <c r="E17" i="28"/>
  <c r="E16" i="28"/>
  <c r="E15" i="28"/>
  <c r="E19" i="35"/>
  <c r="E18" i="35"/>
  <c r="E14" i="28"/>
  <c r="E28" i="17"/>
  <c r="E16" i="14"/>
  <c r="E16" i="13"/>
  <c r="E15" i="29"/>
  <c r="E14" i="29"/>
  <c r="E9" i="51"/>
  <c r="E10" i="51" s="1"/>
  <c r="D61" i="1" s="1"/>
  <c r="E17" i="35"/>
  <c r="E14" i="23"/>
  <c r="E10" i="50"/>
  <c r="E16" i="35"/>
  <c r="E14" i="21"/>
  <c r="E13" i="28"/>
  <c r="E13" i="29"/>
  <c r="E9" i="50"/>
  <c r="E11" i="50" s="1"/>
  <c r="D49" i="1" s="1"/>
  <c r="E15" i="35"/>
  <c r="E12" i="28"/>
  <c r="E12" i="29"/>
  <c r="E13" i="23"/>
  <c r="E27" i="17"/>
  <c r="E11" i="28"/>
  <c r="E11" i="29"/>
  <c r="E10" i="29"/>
  <c r="E11" i="30"/>
  <c r="E9" i="9"/>
  <c r="E14" i="9" s="1"/>
  <c r="D63" i="1" s="1"/>
  <c r="E18" i="20" l="1"/>
  <c r="E11" i="6"/>
  <c r="E9" i="49"/>
  <c r="E8" i="49" s="1"/>
  <c r="E12" i="49" s="1"/>
  <c r="D25" i="1" s="1"/>
  <c r="E10" i="39"/>
  <c r="E11" i="26"/>
  <c r="E9" i="48"/>
  <c r="E10" i="48" s="1"/>
  <c r="D64" i="1" s="1"/>
  <c r="E10" i="44"/>
  <c r="E9" i="47"/>
  <c r="E8" i="47" s="1"/>
  <c r="E10" i="47" s="1"/>
  <c r="D31" i="1" s="1"/>
  <c r="E14" i="35"/>
  <c r="E10" i="6"/>
  <c r="E11" i="32"/>
  <c r="E17" i="20"/>
  <c r="E9" i="46"/>
  <c r="E8" i="46" s="1"/>
  <c r="E10" i="46" s="1"/>
  <c r="D40" i="1" s="1"/>
  <c r="E14" i="16"/>
  <c r="E9" i="45"/>
  <c r="E16" i="20"/>
  <c r="E9" i="44"/>
  <c r="E8" i="44" s="1"/>
  <c r="E11" i="44" s="1"/>
  <c r="D34" i="1" s="1"/>
  <c r="E13" i="35"/>
  <c r="E9" i="43"/>
  <c r="E8" i="43" s="1"/>
  <c r="E12" i="43" s="1"/>
  <c r="D58" i="1" s="1"/>
  <c r="E9" i="42"/>
  <c r="E8" i="42" s="1"/>
  <c r="E17" i="42" s="1"/>
  <c r="D23" i="1" s="1"/>
  <c r="E15" i="20"/>
  <c r="E10" i="41"/>
  <c r="D45" i="1" s="1"/>
  <c r="E9" i="40"/>
  <c r="E8" i="40" s="1"/>
  <c r="E21" i="40" s="1"/>
  <c r="D27" i="1" s="1"/>
  <c r="E10" i="37"/>
  <c r="E9" i="39"/>
  <c r="E8" i="39" s="1"/>
  <c r="E8" i="38"/>
  <c r="E10" i="38" s="1"/>
  <c r="D44" i="1" s="1"/>
  <c r="E12" i="35"/>
  <c r="E12" i="23"/>
  <c r="E11" i="23" s="1"/>
  <c r="E13" i="16"/>
  <c r="E9" i="37"/>
  <c r="E8" i="37" s="1"/>
  <c r="E21" i="37" s="1"/>
  <c r="D28" i="1" s="1"/>
  <c r="E10" i="32"/>
  <c r="E9" i="36"/>
  <c r="E10" i="36" s="1"/>
  <c r="D48" i="1" s="1"/>
  <c r="E14" i="20"/>
  <c r="E11" i="35"/>
  <c r="E9" i="6"/>
  <c r="E10" i="35"/>
  <c r="E9" i="35"/>
  <c r="E10" i="34"/>
  <c r="D55" i="1" s="1"/>
  <c r="E9" i="33"/>
  <c r="E8" i="33" s="1"/>
  <c r="E14" i="33" s="1"/>
  <c r="D22" i="1" s="1"/>
  <c r="E15" i="12"/>
  <c r="E10" i="30"/>
  <c r="E8" i="35" l="1"/>
  <c r="E20" i="35" s="1"/>
  <c r="D59" i="1" s="1"/>
  <c r="E12" i="16"/>
  <c r="E10" i="45"/>
  <c r="D21" i="1" s="1"/>
  <c r="E8" i="45"/>
  <c r="E8" i="6"/>
  <c r="E21" i="6" s="1"/>
  <c r="D50" i="1" s="1"/>
  <c r="E14" i="39"/>
  <c r="D16" i="1" s="1"/>
  <c r="E9" i="32"/>
  <c r="E8" i="32" s="1"/>
  <c r="E15" i="32" s="1"/>
  <c r="D20" i="1" s="1"/>
  <c r="E13" i="18"/>
  <c r="E9" i="4"/>
  <c r="E8" i="4" s="1"/>
  <c r="E12" i="4" s="1"/>
  <c r="D60" i="1" s="1"/>
  <c r="E12" i="18"/>
  <c r="E11" i="18" s="1"/>
  <c r="E14" i="12"/>
  <c r="E13" i="12" s="1"/>
  <c r="E13" i="20"/>
  <c r="E12" i="20" s="1"/>
  <c r="E9" i="30"/>
  <c r="E8" i="30" s="1"/>
  <c r="E13" i="30" s="1"/>
  <c r="D30" i="1" s="1"/>
  <c r="E9" i="29"/>
  <c r="E8" i="29" s="1"/>
  <c r="E18" i="29" s="1"/>
  <c r="D11" i="1" s="1"/>
  <c r="E12" i="25"/>
  <c r="E10" i="28"/>
  <c r="E10" i="27"/>
  <c r="E13" i="21"/>
  <c r="E16" i="15"/>
  <c r="E26" i="17"/>
  <c r="E15" i="13"/>
  <c r="E9" i="28"/>
  <c r="E12" i="21"/>
  <c r="E14" i="13"/>
  <c r="E15" i="14"/>
  <c r="E14" i="14"/>
  <c r="E13" i="14" s="1"/>
  <c r="E13" i="13"/>
  <c r="E11" i="25"/>
  <c r="E15" i="15"/>
  <c r="E14" i="15" s="1"/>
  <c r="E9" i="27"/>
  <c r="E8" i="27" s="1"/>
  <c r="E11" i="27" s="1"/>
  <c r="D32" i="1" s="1"/>
  <c r="E9" i="8"/>
  <c r="E12" i="8" s="1"/>
  <c r="D62" i="1" s="1"/>
  <c r="E9" i="26"/>
  <c r="E12" i="26" s="1"/>
  <c r="D65" i="1" s="1"/>
  <c r="E25" i="17"/>
  <c r="E24" i="17"/>
  <c r="E23" i="17"/>
  <c r="E22" i="17"/>
  <c r="E21" i="17"/>
  <c r="E20" i="17"/>
  <c r="E19" i="17"/>
  <c r="E10" i="23"/>
  <c r="E10" i="18"/>
  <c r="E18" i="17"/>
  <c r="E11" i="20"/>
  <c r="E17" i="17"/>
  <c r="E12" i="12"/>
  <c r="E11" i="12"/>
  <c r="E16" i="17"/>
  <c r="E14" i="17"/>
  <c r="E9" i="25"/>
  <c r="E13" i="15"/>
  <c r="E11" i="16"/>
  <c r="E13" i="17"/>
  <c r="E9" i="23"/>
  <c r="E11" i="13"/>
  <c r="E10" i="20"/>
  <c r="E11" i="22"/>
  <c r="E12" i="17"/>
  <c r="E10" i="13"/>
  <c r="E8" i="13" s="1"/>
  <c r="E10" i="22"/>
  <c r="E11" i="17"/>
  <c r="E10" i="21"/>
  <c r="E12" i="14"/>
  <c r="E10" i="19"/>
  <c r="E12" i="15"/>
  <c r="E10" i="16"/>
  <c r="E9" i="22"/>
  <c r="E8" i="22" s="1"/>
  <c r="E14" i="22" s="1"/>
  <c r="D39" i="1" s="1"/>
  <c r="E9" i="21"/>
  <c r="E11" i="15"/>
  <c r="E11" i="14"/>
  <c r="E9" i="20"/>
  <c r="E8" i="20" s="1"/>
  <c r="E21" i="20" s="1"/>
  <c r="D57" i="1" s="1"/>
  <c r="E10" i="17"/>
  <c r="E10" i="12"/>
  <c r="E10" i="15"/>
  <c r="E10" i="14"/>
  <c r="E9" i="19"/>
  <c r="E9" i="18"/>
  <c r="E9" i="17"/>
  <c r="E8" i="17" s="1"/>
  <c r="E9" i="16"/>
  <c r="E8" i="16" s="1"/>
  <c r="E18" i="16" s="1"/>
  <c r="D24" i="1" s="1"/>
  <c r="E9" i="15"/>
  <c r="E9" i="14"/>
  <c r="E17" i="13" l="1"/>
  <c r="D7" i="1" s="1"/>
  <c r="E8" i="14"/>
  <c r="E17" i="14" s="1"/>
  <c r="D9" i="1" s="1"/>
  <c r="E8" i="18"/>
  <c r="E17" i="18" s="1"/>
  <c r="D66" i="1" s="1"/>
  <c r="E8" i="12"/>
  <c r="E18" i="12" s="1"/>
  <c r="D47" i="1" s="1"/>
  <c r="D29" i="1" s="1"/>
  <c r="E31" i="17"/>
  <c r="D52" i="1" s="1"/>
  <c r="E8" i="15"/>
  <c r="E17" i="15" s="1"/>
  <c r="D13" i="1" s="1"/>
  <c r="E13" i="19"/>
  <c r="D53" i="1" s="1"/>
  <c r="E8" i="19"/>
  <c r="E8" i="21"/>
  <c r="E17" i="21" s="1"/>
  <c r="D14" i="1" s="1"/>
  <c r="E15" i="17"/>
  <c r="E12" i="13"/>
  <c r="E11" i="21"/>
  <c r="E13" i="25"/>
  <c r="D10" i="1" s="1"/>
  <c r="E8" i="23"/>
  <c r="E18" i="23" s="1"/>
  <c r="D8" i="1" s="1"/>
  <c r="E8" i="28"/>
  <c r="E18" i="28" s="1"/>
  <c r="D12" i="1" s="1"/>
  <c r="D6" i="1" l="1"/>
  <c r="D5" i="1" s="1"/>
</calcChain>
</file>

<file path=xl/sharedStrings.xml><?xml version="1.0" encoding="utf-8"?>
<sst xmlns="http://schemas.openxmlformats.org/spreadsheetml/2006/main" count="2475" uniqueCount="496">
  <si>
    <t>รายการที่ขอรับการสนับสนุนงบประมาณ พ.ศ. 2567 (ขั้นคำขอ) ของ สป.มท.</t>
  </si>
  <si>
    <t>งบลงทุน  (สิ่งก่อสร้าง)</t>
  </si>
  <si>
    <t>หน่วย : บาท</t>
  </si>
  <si>
    <t>ลำดับ</t>
  </si>
  <si>
    <t>รายการ</t>
  </si>
  <si>
    <t>ปริมาณ</t>
  </si>
  <si>
    <t>วงเงิน</t>
  </si>
  <si>
    <t>หมายเหตุ</t>
  </si>
  <si>
    <t>รวมทั้งสิ้น</t>
  </si>
  <si>
    <t xml:space="preserve"> </t>
  </si>
  <si>
    <t xml:space="preserve">ค่าปรับปรุงระบบเสียงห้องประชุมตากสินมหาราช ชั้น 5 ศาลากลางจังหวัดตาก ตำบลหนองหลวง อำเภอเมืองตาก จังหวัดตาก </t>
  </si>
  <si>
    <t xml:space="preserve">ตาก </t>
  </si>
  <si>
    <t>จังหวัดตาก P6300</t>
  </si>
  <si>
    <t>นครราชสีมา</t>
  </si>
  <si>
    <t>จังหวัดนครราชสีมา P3000</t>
  </si>
  <si>
    <t>ค่าครุภัณฑ์ประจำบ้านพักรองผู้ว่าราชการจังหวัดนครศรีธรรมราช ตำบลคลัง อำเภอเมืองนครศรีธรรมราช จังหวัดนครศรีธรรมราช</t>
  </si>
  <si>
    <t>นครศรีธรรมราช</t>
  </si>
  <si>
    <t>จังหวัดนครศรีธรรมราช P8000</t>
  </si>
  <si>
    <t xml:space="preserve"> ค่าครุภัณฑ์บ้านพักรองผู้ว่าราชการจังหวัดมุกดาหาร (รอง 3) ตำบลมุกดาหาร อำเภอเมืองมุกดาหาร จังหวัดมุกดาหาร</t>
  </si>
  <si>
    <t>มุกดาหาร</t>
  </si>
  <si>
    <t>จังหวัดมุกดาหาร P4900</t>
  </si>
  <si>
    <t>จังหวัดแม่ฮ่องสอน P5800</t>
  </si>
  <si>
    <t>ค่าครุภัณฑ์ประจำบ้านพักหัวหน้าสำนักงานจังหวัดแม่ฮ่องสอน ตำบลจองคำ อำเภอเมืองแม่ฮ่องสอน จังหวัดแม่ฮ่องสอน</t>
  </si>
  <si>
    <t>ค่าครุภัณฑ์ประจำบ้านพักรองผู้ว่าราชการจังหวัดแม่ฮ่องสอน ตำบลจองคำ อำเภอเมืองแม่ฮ่องสอน จังหวัดแม่ฮ่องสอน</t>
  </si>
  <si>
    <t>ค่าปรับปรุงซ่อมแซมระบบโสตทัศนูปกรณ์ห้องประชุมประดิษฐ์จองคำ ชั้น 2 ศาลากลางจังหวัดแม่ฮ่องสอน (หลังใหม่) ตำบลจองคำ อำเภอเมืองแม่ฮ่องสอน จังหวัดแม่ฮ่องสอน</t>
  </si>
  <si>
    <t>แม่ฮ่องสอน</t>
  </si>
  <si>
    <t>ค่าระบบไมโครโฟนชุดประชุม ประจำห้องประชุมศรียะลา อาคาร 3 ศาลากลางจังหวัดยะลา ตำบลสะเตง อำเภอเมืองยะลา จังหวัดยะลา</t>
  </si>
  <si>
    <t>จังหวัดยะลา P9500</t>
  </si>
  <si>
    <t xml:space="preserve"> ค่าระบบวิดีทัศน์ทางไกล ประจำห้องประชุมศรียะลา อาคาร 3 ศาลากลางจังหวัดยะลา ตำบลสะเตง อำเภอเมืองยะลา จังหวัดยะลา</t>
  </si>
  <si>
    <t>ยะลา</t>
  </si>
  <si>
    <t xml:space="preserve"> ค่าจัดซื้อครุภัณฑ์ภายในห้องประชุมรัตนรังสรรค์ ชั้น 5 ศาลากลางจังหวัดระนอง ตำบลบางริ้น อำเภอเมืองระนอง จังหวัดระนอง  </t>
  </si>
  <si>
    <t xml:space="preserve">ระนอง  </t>
  </si>
  <si>
    <t>จังหวัดระนอง P8500</t>
  </si>
  <si>
    <t>ค่าติดตั้งผ้าม่านบ้านพักรองผู้ว่าราชการจังหวัดสงขลา (ตำหนักเข้น้อย) ตำบลบ่อยาง อำเภอเมืองสงขลา จังหวัดสงขลา</t>
  </si>
  <si>
    <t>สงขลา</t>
  </si>
  <si>
    <t>จังหวัดสงขลา P9000</t>
  </si>
  <si>
    <t>ค่าครุภัณฑ์เครื่องเสียงโสตทัศนูปกรณ์ประจำอาคารหอประชุมพญานาครินทร์ ศาลากลางจังหวัดอำนาจเจริญ ตำบลในเมือง อำเภอเมืองอำนาจเจริญ จังหวัดอำนาจเจริญ</t>
  </si>
  <si>
    <t>อำนาจเจริญ</t>
  </si>
  <si>
    <t>จังหวัดอำนาจเจริญ P3700</t>
  </si>
  <si>
    <t>ค่าติดตั้งโคมโซล่าเซลล์โรงรถ และบริเวณโดยรอบศาลากลางจังหวัดอุดรธานี ตำบลหมากแข้ง อำเภอเมืองอุดรธานี จังหวัดอุดรธานี</t>
  </si>
  <si>
    <t>อุดรธานี</t>
  </si>
  <si>
    <t>จังหวัดอุดรธานี P4100</t>
  </si>
  <si>
    <t>จังหวัดเชียงใหม่ P5000</t>
  </si>
  <si>
    <t>1) เครื่องคอมพิวเตอร์แม่ข่าย แบบที่ 2 ราคาเครื่องละ 350,000 บาท</t>
  </si>
  <si>
    <t>เชียงใหม่</t>
  </si>
  <si>
    <t>สถานความพร้อม</t>
  </si>
  <si>
    <t>แบบ 1 (ครุภัณฑ์)</t>
  </si>
  <si>
    <t>ใบเสนอราคา</t>
  </si>
  <si>
    <t>ปร4,5</t>
  </si>
  <si>
    <t>รูปภาพ</t>
  </si>
  <si>
    <t>สำนักนโยบายและแผน สป. (สนผ.) P1000</t>
  </si>
  <si>
    <t>สนผ. สป.</t>
  </si>
  <si>
    <t>สำนักงานคณะกรรมการมาตรฐานการบริหารงานบุคคลส่วนท้องถิ่น สป. (สกถ.) P1000</t>
  </si>
  <si>
    <t>สกถ.</t>
  </si>
  <si>
    <t>เครื่องคอมพิวเตอร์ สำหรับงานประมวลผล แบบที่ 1 ราคาเครื่องละ 22,000 บาท</t>
  </si>
  <si>
    <t>กองการเจ้าหน้าที่ สป. (กจ.) P1000</t>
  </si>
  <si>
    <t>กจ</t>
  </si>
  <si>
    <t>ศูนย์เทคโนโลยีสารสนเทศและการสื่อสารเขต 8 จังหวัดพิษณุโลก  (ศสข. 8 พิษณุโลก) P1000</t>
  </si>
  <si>
    <t>ศสข.8 พิษณุโลก</t>
  </si>
  <si>
    <t>จังหวัดอุทัยธานี P6100</t>
  </si>
  <si>
    <t xml:space="preserve"> เครื่องคอมพิวเตอร์ สำหรับงานประมวลผล แบบที่ 2 ราคาเครื่องละ 30,000 บาท</t>
  </si>
  <si>
    <t>อุทัยธานี</t>
  </si>
  <si>
    <t>จังหวัดปัตตานี P9400</t>
  </si>
  <si>
    <t>ปัตตานี</t>
  </si>
  <si>
    <t>จังหวัดกำแพงเพชร P6200</t>
  </si>
  <si>
    <t>เครื่องคอมพิวเตอร์ All In One สำหรับงานประมวลผล ราคาเครื่องละ 23,000 บาท</t>
  </si>
  <si>
    <t>กำแพงเพชร</t>
  </si>
  <si>
    <t>ครุภัณฑ์</t>
  </si>
  <si>
    <t xml:space="preserve"> เครื่องคอมพิวเตอร์ All In One สำหรับงานสำนักงาน ราคาเครื่องละ 17,000 บาท</t>
  </si>
  <si>
    <t>เครื่องคอมพิวเตอร์ All In One สำหรับงานสำนักงาน ราคาเครื่องละ 17,000 บาท</t>
  </si>
  <si>
    <t>จังหวัดนครปฐม P7300</t>
  </si>
  <si>
    <t>นครปฐม</t>
  </si>
  <si>
    <t>เครื่องพิมพ์เลเซอร์ หรือ LED สี ชนิด Network แบบที่ 1 ราคาเครื่องละ 10,000 บาท</t>
  </si>
  <si>
    <t>กลุ่มยุทธศาสตร์การเปลี่ยนแปลงกระทรวงมหาดไทย (กยป.มท.) P1000</t>
  </si>
  <si>
    <t>กยป. มท.</t>
  </si>
  <si>
    <t>หน่วยงาน/จังหวัด</t>
  </si>
  <si>
    <t>จังหวัดศรีสะเกษ P3300</t>
  </si>
  <si>
    <t>ศรีสะเกษ</t>
  </si>
  <si>
    <t>เครื่องพิมพ์เลเซอร์ หรือ LED สี ชนิด Network แบบที่ 2 ราคาเครื่องละ 26,000 บาท</t>
  </si>
  <si>
    <t>เครื่องพิมพ์เลเซอร์ หรือ LED ขาวดำ ชนิด Network แบบที่ 1 ราคาเครื่องละ 8,900 บาท</t>
  </si>
  <si>
    <t>เครื่องพิมพ์ Multifunction เลเซอร์สี ราคาเครื่องละ 15,000 บาท</t>
  </si>
  <si>
    <t>เครื่องพิมพ์ Multifunction แบบฉีดหมึกพร้อมติดตั้งถังหมึกพิมพ์ (ink tank printer)
ราคาเครื่องละ 7,500 บาท</t>
  </si>
  <si>
    <t>เครื่องคอมพิวเตอร์โน๊ตบุ๊ก สำหรับงานประมวลผล ราคาเครื่อง 22,000 บาท</t>
  </si>
  <si>
    <t>สำนักพัฒนาและส่งเสริมการบริหารราชการจังหวัด (สบจ.) P1000</t>
  </si>
  <si>
    <t>สบจ.</t>
  </si>
  <si>
    <t>จังหวัดตราด  P2300</t>
  </si>
  <si>
    <t>ตราด</t>
  </si>
  <si>
    <t>เครื่องสแกนเนอร์ สำหรับงานเก็บเอกสารทั่วไป ราคาเครื่องละ 3,000 บาท</t>
  </si>
  <si>
    <t>สำนักกฎหมาย (สกม.)  P1000</t>
  </si>
  <si>
    <t>เครื่องสแกนเนอร์ สำหรับงานเก็บเอกสารระดับศูนย์บริการ แบบที่ 2 ราคาเครื่องละ 27,000 บาท</t>
  </si>
  <si>
    <t>สกม.</t>
  </si>
  <si>
    <t>เครื่องพิมพ์แบบฉีดหมึก ราคาเครื่องละ 4,300 บาท</t>
  </si>
  <si>
    <t>เครื่องคอมพิวเตอร์โน้ตบุ๊ก สำหรับงานสำนักงาน ราคาเครื่องละ 16,000 บาท</t>
  </si>
  <si>
    <t>เครื่องสำรองไฟฟ้า 800 AV ราคาเครื่องละ 2,500 บาท</t>
  </si>
  <si>
    <t>คอมพิวเตอร์แท็บเล็ต แบบที่ 2 ราคาเครื่องละ 20,000 บาท</t>
  </si>
  <si>
    <t>18) เครื่องบันทึกภาพเครือข่าย (Network Video Recorder) 16 ช่อง ราคาเครื่องละ 57,000 บาท</t>
  </si>
  <si>
    <t>อุปกรณ์กระจายสัญญาณแบบ POE ขนาด 8 ช่อง ราคารเครื่องละ 8,300 บาท</t>
  </si>
  <si>
    <t>อุปกรณ์ระบบห้องประชุม พร้อมอุปกรณ์ประชุมทางไกล ผ่านระบบออนไลน์ VCS ราคาชุดละ 418,100 บาท</t>
  </si>
  <si>
    <t>อุปกรณ์กระจายสัญญาณแบบไร้สาย WIFI ประจำห้องประชุม ราคาชุดละ 5,400 บาท</t>
  </si>
  <si>
    <t>ระบบอินเตอร์เน็ต เพื่อสำรองประจำห้องประชุมทุกห้อง ราคาระบบละ 14,400 บาท</t>
  </si>
  <si>
    <t>อุปกรณ์กระจายสัญญาณ Switching Gigabit 24 CH ราคาเครื่องละ 4,500 บาท</t>
  </si>
  <si>
    <t>อุปกรณ์กระจายสัญญาณ (L2 Switch) ขนาด 16 ช่อง ราคาชุดละ 2,400 บาท</t>
  </si>
  <si>
    <t>จังหวัดพัทลุง  P9300</t>
  </si>
  <si>
    <t>อุปกรณ์กระจายสัญญาณแบบ PoE (PoE L2 Switch) ระบบ CCTV ขนาด 8 ช่อง ราคาชุดละ 8,300 บาท</t>
  </si>
  <si>
    <t>พัทลุง</t>
  </si>
  <si>
    <t>เครื่องฉายโปรเจคเตอร์ พร้อมอุปกรณ์ ราคาชุดละ 830,000 บาท</t>
  </si>
  <si>
    <t>ระนอง</t>
  </si>
  <si>
    <t>ครุภัณฑ์คอมพิวเตอร์</t>
  </si>
  <si>
    <t>จังหวัดอ่างทอง  P1500</t>
  </si>
  <si>
    <t>ครุภัณฑ์สำนักงาน</t>
  </si>
  <si>
    <t>อ่างทอง</t>
  </si>
  <si>
    <t>เครื่องโทรสารแบบใช้กระดาษธรรมดา ส่งเอกสารได้ครั้งละ 20 แผ่น ราคาเครื่องละ 18,000 บาท</t>
  </si>
  <si>
    <t>เครื่องโทรสารแบบใช้กระดาษธรรมดา ส่งเอกสารได้ครั้งละ 30 แผ่น ราคาเครื่องละ 30,000 บาท</t>
  </si>
  <si>
    <t>เครื่องเจาะกระดาษและเข้าเล่มมือโยก ราคาเครื่องละ 11,800 บาท</t>
  </si>
  <si>
    <t>เครื่องเจาะกระดาษไฟฟ้าและเข้าเล่มมือโยก ราคาเครื่องละ 19,300 บาท</t>
  </si>
  <si>
    <t>เครื่องเย็บเข้าเล่ม ขนาดเย็บกระดาษ 80 แกรม ได้หนา 2-210 แผ่น ราคาเครื่องละ 2,350 บาท</t>
  </si>
  <si>
    <t>เครื่องพิมพ์ดีดไฟฟ้า ราคาเครื่องละ 22,000 บาท</t>
  </si>
  <si>
    <t>กองกลาง  (กก.)  P1000</t>
  </si>
  <si>
    <t>เครื่องเคลือบบัตร  ราคาเครื่องละ 5,000 บาท</t>
  </si>
  <si>
    <t>กก.</t>
  </si>
  <si>
    <t>เครื่องทำลายเอกสาร แบบตัดตรง ทำลายครั้งละ 10 แผ่น ราคาเครื่องละ 19,300 บาท</t>
  </si>
  <si>
    <t>เครื่องทำลายเอกสาร แบบตัดละเอียด ทำลายครั้งละ 10 แผ่น ราคาเครื่องละ 20,000 บาท</t>
  </si>
  <si>
    <t>เครื่องพิมพ์สำเนาระบบดิจิตอล ความละเอียด 300*600 จุดต่อตารางนิ้ว ราคาเครื่องละ 180,000 บาท</t>
  </si>
  <si>
    <t>เครื่องทำลายเอกสาร แบบตัดละเอียด ทำลายครั้งละ 20 แผ่น ราคาเครื่องละ 42,700 บาท</t>
  </si>
  <si>
    <t>เครื่องทำลายเอกสาร แบบตัดละเอียด ทำลายครั้งละ 30 แผ่น ราคาเครื่องละ 69,900 บาท</t>
  </si>
  <si>
    <t>กองสารนิเทศ (สน.) P1000</t>
  </si>
  <si>
    <t>สน.</t>
  </si>
  <si>
    <t>จังหวัดสมุทรปราการ  P11000</t>
  </si>
  <si>
    <t>เครื่องปรับอากาศแบบติดผนัง (ระบบ Inverter) ขนาด 12,000 BTU ราคาเครื่องละ 18,500 บาท</t>
  </si>
  <si>
    <t>สมุทรปราการ</t>
  </si>
  <si>
    <t>เครื่องปรับอากาศแบบติดผนัง (ระบบ Inverter) ขนาด 24,000 BTU ราคาเครื่องละ 40,900 บาท</t>
  </si>
  <si>
    <t>เครื่องปรับอากาศแบบแขวน (ระบบ Inverter) ขนาด 36,000 BTU ราคาเครื่องละ 53,600 บาท</t>
  </si>
  <si>
    <t>เครื่องปรับอากาศ แบบติดผนัง ขนาด 12,000 BTU ราคาเครื่องละ 16,800 บาท</t>
  </si>
  <si>
    <t>จังหวัดนครสวรรค์  P6000</t>
  </si>
  <si>
    <t>นครสวรรค์</t>
  </si>
  <si>
    <t>ศูนย์เทคโนโลยีสารสนเทศและการสื่อสารเขต 4 จังหวัดนครราชสีมา  (ศสข. 4 นครราชสีมา) P1000</t>
  </si>
  <si>
    <t>ศสข.4 นครราชสีมา</t>
  </si>
  <si>
    <t>เครื่องปรับอากาศ แบบติดผนัง ขนาด 24,000 BTU ราคาเครื่องละ 24,900 บาท</t>
  </si>
  <si>
    <t>ศูนย์เทคโนโลยีสารสนเทศและการสื่อสารเขต 6 จังหวัดขอนแก่น  (ศสข. 6 ขอนแก่น) P1000</t>
  </si>
  <si>
    <t>ศสข.6 ขอนแก่น</t>
  </si>
  <si>
    <t>จังหวัดเพชรบูณ์  P6700</t>
  </si>
  <si>
    <t>เพชรบูรณ์</t>
  </si>
  <si>
    <t>เครื่องปรับอากาศ แบบแยกส่วน ขนาด 13,000 BTU ราคาเครื่องละ 23,500 บาท</t>
  </si>
  <si>
    <t>จังหวัดประจวบคีรีขันธ์  P7700</t>
  </si>
  <si>
    <t>ประจวบคีรีขันธ์</t>
  </si>
  <si>
    <t>เครื่องปรับอากาศ แบบแยกส่วน ขนาด 15,000 BTU ราคาเครื่องละ 25,700 บาท</t>
  </si>
  <si>
    <t>ครุภัณฑ์อื่นๆ</t>
  </si>
  <si>
    <t>เครื่องปรับอากาศ แบบแยกส่วน ขนาด 18,000 BTU ราคาเครื่องละ 27,200 บาท</t>
  </si>
  <si>
    <t>ลำพูน</t>
  </si>
  <si>
    <t>ศูนย์เทคโนโลยีสารสนเทศและการสื่อสารเขต 12 จังหวัดสงขลา  (ศสข. 12 สงขลา) P9000</t>
  </si>
  <si>
    <t>ศสข. 12 สงขลา</t>
  </si>
  <si>
    <t>เครื่องปรับอากาศ แบบแยกส่วน ขนาด 24,000 BTU ราคาเครื่องละ 32,200 บาท</t>
  </si>
  <si>
    <t>หนองคาย</t>
  </si>
  <si>
    <t>จังหวัดหนองคาย P4300</t>
  </si>
  <si>
    <t>ศสส. สป. (กตป.)</t>
  </si>
  <si>
    <t>ศูนย์เทคโนโลยีสารสนเทศและการสื่อสารเขต 11 จังหวัดนครศรีธรรมราช  (ศสข. 11 นครศรีธรรมราช) P9000</t>
  </si>
  <si>
    <t>ศสข.11 นครศรีธรรมราช</t>
  </si>
  <si>
    <t>เครื่องปรับอากาศ แบบแยกส่วน ขนาด 26,000 BTU ราคาเครื่องละ 36,300 บาท</t>
  </si>
  <si>
    <t>ร้อยเอ็ด</t>
  </si>
  <si>
    <t>จังหวัดร้อยเอ็ด P4500</t>
  </si>
  <si>
    <t>ศสข.7 เชียงใหม่</t>
  </si>
  <si>
    <t>เครื่องปรับอากาศ แบบแยกส่วน ขนาด 30,000 BTU ราคาเครื่องละ 41,500 บาท</t>
  </si>
  <si>
    <t>จังหวัดสมุทรสงคราม P7500</t>
  </si>
  <si>
    <t>สมุทรสงคราม</t>
  </si>
  <si>
    <t>จังหวัดจันทบุรี  P2200</t>
  </si>
  <si>
    <t>จันทบุรี</t>
  </si>
  <si>
    <t>ศูนย์เทคโนโลยีสารสนเทศและการสื่อสารเขต 5 จังหวัดอุดรธานี  (ศสข. 5 อุดรธานี) P1000</t>
  </si>
  <si>
    <t>ศสข.5 อุดรธานี</t>
  </si>
  <si>
    <t>จังหวัดยโสธร  P3500</t>
  </si>
  <si>
    <t>เครื่องปรับอากาศ แบบแยกส่วน ขนาด 32,000 BTU ราคาเครื่องละ 43,000 บาท</t>
  </si>
  <si>
    <t>ยโสธร</t>
  </si>
  <si>
    <t>เครื่องปรับอากาศ แบบแยกส่วน ขนาด 36,000 BTU ราคาเครื่องละ 45,500 บาท</t>
  </si>
  <si>
    <t>จังหวัดพระนครศรีอยุธยา P1400</t>
  </si>
  <si>
    <t>พระนครศรีอยุธยา</t>
  </si>
  <si>
    <t>จังหวัดตรัง  P9200</t>
  </si>
  <si>
    <t>ตรัง</t>
  </si>
  <si>
    <t>ศสส. สป. (กทส.)</t>
  </si>
  <si>
    <t>ศูนย์เทคโนโลยีสารสนเทศและการสื่อสารเขต 9 จังหวัดนครสวรรค์  (ศสข. 9 นครสวรรค์ ) P1000</t>
  </si>
  <si>
    <t>ศสข.9 นครสวรรค์</t>
  </si>
  <si>
    <t>25) เครื่องปรับอากาศ แบบแยกส่วน ขนาด 36,000 BTU ราคาเครื่องละ 45,500 บาท</t>
  </si>
  <si>
    <t>เครื่องปรับอากาศ แบบแยกส่วน ขนาด 40,000 BTU ราคาเครื่องละ 49,500 บาท</t>
  </si>
  <si>
    <t>เครื่องปรับอากาศ ขนาด 37,000 BTU (4 ทิศทาง) ราคาเครื่องละ 77,000 บาท</t>
  </si>
  <si>
    <t>เครื่องปรับอากาศ</t>
  </si>
  <si>
    <t>โต๊ะปฏิบัติงาน (ผู้บริหาร) ตัวละ 11,290 บาท</t>
  </si>
  <si>
    <t>โต๊ะปฏิบัติงานพร้อมวางเครื่องคอมพิวเตอร์ ราคาตัวละ 13,180 บาท</t>
  </si>
  <si>
    <t>โต๊ะคอมพิวเตอร์ ราคาตัวละ 3,590 บาท</t>
  </si>
  <si>
    <t>โต๊ะห้องประชุม ราคาตัวละ 74,000 บาท</t>
  </si>
  <si>
    <t>เก้าอี้สำนักงาน สำหรับระดับชำนาญการพิเศษ ราคาตัวละ 19,200 บาท</t>
  </si>
  <si>
    <t>จังหวัดพะเยา  P5600</t>
  </si>
  <si>
    <t>พะเยา</t>
  </si>
  <si>
    <t>เก้าอี้สำนักงาน สำหรับระดับปฏิบัติการ/ชำนาญการ ราคาตัวละ 4,500 บาท</t>
  </si>
  <si>
    <t>เก้าอี้ประชุม ราคาตัวละ 3,500 บาท</t>
  </si>
  <si>
    <t>จังหวัดกระบี่  P8100</t>
  </si>
  <si>
    <t>กระบี่</t>
  </si>
  <si>
    <t>ตู้บานเลื่อนกระจกทรงสูง ราคาตู้ละ 63,120 บาท</t>
  </si>
  <si>
    <t>ตู้บานเลื่อน 3 ฟุต ราคาตู้ละ 32,000 บาท</t>
  </si>
  <si>
    <t>ตู้เก็บเอกสาร ตู้เหล็ก 2 บานเลื่อน ราคาตู้ละ 5,200 บาท</t>
  </si>
  <si>
    <t>ตู้เหล็กแบบเตี้ย บานเลื่อนทึบ พร้อมฐานรอง ราคาตู้ละ 3,700 บาท</t>
  </si>
  <si>
    <t>ตู้บานเลื่อนกระจก 4 ฟุต ราคาเครื่องละ 3,050 บาท</t>
  </si>
  <si>
    <t>ตู้เก็บเอกสาร แบบ 2 บานเปิ (มอก.) ราคาตู้ละ 5,700 บาท</t>
  </si>
  <si>
    <t>ตู้เอกสารบานเลื่อนแบบใส 4 ฟุต ราคาตู้ละ 4,500 บาท</t>
  </si>
  <si>
    <t>ตู้เหล็กแบบ 2 บาน ราคาตู้ละ 6,100 บาท</t>
  </si>
  <si>
    <t>ตู้เหล็กแบบ 3 ลิ้นชัก ราคาตู้ละ 9,900 บาท</t>
  </si>
  <si>
    <t>เก้าอี้บุนวมและโต๊ะหน้าขาว</t>
  </si>
  <si>
    <t>เครื่องดูดฝุ่น ขนาด 15 ลิตร ราคาเครื่องละ 9,900 บาท</t>
  </si>
  <si>
    <t>ลิฟต์โดยสารของศาลากลางจังหวัดกำแพงเพชร จำนวน 4 ตัว ตำบลหนองปลิง อำเภอเมืองกำแพงเพชร จังหวัดกำแพงเพชร</t>
  </si>
  <si>
    <t>ศูนย์เทคโนโลยีสารสนเทศและการสื่อสารเขต 3 จังหวัดนครปฐม  (ศสข.3 นครปฐม) P1000</t>
  </si>
  <si>
    <t>เครื่องปรับอากาศแบบแยกส่วน ขนาด 15,000 BTU ราคาเครื่องละ 25,700 บาท</t>
  </si>
  <si>
    <t>เครื่องปรับอากาศ ขนาด 25,000 BTU ราคาเครื่องละ 36,200 บาท</t>
  </si>
  <si>
    <t>ศสส. สป.
(กยส.)</t>
  </si>
  <si>
    <t>เครื่องโทรสารระบบเลเซอร์</t>
  </si>
  <si>
    <t>ศสข.3 นครปฐม</t>
  </si>
  <si>
    <t xml:space="preserve">เครื่องทำลายเอกสาร </t>
  </si>
  <si>
    <t>เก้าอี้ทํางาน เก้าอี้ระดับ 3-6</t>
  </si>
  <si>
    <t>ชุดโต๊ะประชุมขนาด 150*10 พร้อมเก้าอี้ประชุม</t>
  </si>
  <si>
    <t>เครื่องทําลายเอกสาร แบบตัดละเอียด ทำลายครั้งละ 20 แผ่น</t>
  </si>
  <si>
    <t>เครื่องถ่ายเอกสารดิจิตอล (ขาว-ดำ) ความเร็ว 30 แผ่นต่อนาที</t>
  </si>
  <si>
    <t>เครื่องทําลายเอกสาร แบบตัดละเอียด ทำลายครั้งละ 10 แผ่น</t>
  </si>
  <si>
    <t>เก้าอี้พนักพิง</t>
  </si>
  <si>
    <t>เก้าอี้ผู้บริหาร</t>
  </si>
  <si>
    <t>ตู้เหล็กบานเลื่อนกระจก จัดเก็บเอกสาร 4 ชั้น ขนาด 91.7x45.7x180 ซม.</t>
  </si>
  <si>
    <t>โต๊ะประชุม โต๊ะประชุมตัวต่อ ขนาด 600x180 ซม.</t>
  </si>
  <si>
    <t xml:space="preserve">เครื่องดูดฝุ่น ขนาด 25 ลิตร </t>
  </si>
  <si>
    <t>ศูนย์เทคโนโลยีสารสนเทศและการสื่อสารเขต 10 จังหวัดสุราษฎร์ธานี  (ศสข. 10 สุราษฎร์ธานี ) P1000</t>
  </si>
  <si>
    <t>เก้าอี้ระดับ 3-6</t>
  </si>
  <si>
    <t>ศสข.10 
สุราษฎร์ธานี</t>
  </si>
  <si>
    <t>เครื่องดูดฝุ่น ขนาด 15 ลิตร</t>
  </si>
  <si>
    <t>ค่าครุภัณฑ์ยานพาหนะ</t>
  </si>
  <si>
    <t>ครุภัณฑ์ยานพาหนะ</t>
  </si>
  <si>
    <t>รถนั่งส่วนกลาง ปริมาตรกระบอกสูบ 1,400 - 1,600 ซีซี หรือกำลังเครื่องยนต์สูงสุดไม่ต่ำกว่า
70 กิโลวัตต์ ราคาคันละ 740,000 บาท</t>
  </si>
  <si>
    <t>รถนั่งส่วนกลาง ปริมาตรกระบอกสูบ 1,600 - 1,800 ซีซี หรือกำลังเครื่องยนต์สูงสุดไม่ต่ำกว่า
90 กิโลวัตต์ ราคาคันละ 965,000 บาท</t>
  </si>
  <si>
    <t>ครุภัณฑ์อื่น</t>
  </si>
  <si>
    <t>3) รถบรรทุก (ดีเซล) ขนาด 1 ตัน ปริมาตรกระบอกสูบไม่ต่ำกว่า 2,400 ซีซี หรือกำลังเครื่องยนต์
สูงสุดไม่ต่ำกว่า 110 กิโลวัตต์ ขับเคลื่อน 2 ล้อ แบบธรรมดา ราคาคันละ 575,000 บาท</t>
  </si>
  <si>
    <t>รถบรรทุก (ดีเซล) ขนาด 1 ตัน ปริมาตรกระบอกสูบไม่ต่ำกว่า 2,400 ซีซี หรือกำลังเครื่องยนต์
สูงสุด ไม่ต่ำกว่า 110 กิโลวัตต์ ขับเคลื่อน 2 ล้อ แบบดับเบิ้ลแค๊บ ราคาคันละ 850,000 บาท</t>
  </si>
  <si>
    <t>รถบรรทุก (ดีเซล) ขนาด 1 ตัน ปริมาตรกระบอกสูบไม่ต่ำกว่า 2,400 ซีซี หรือกำลังเครื่องยนต์
สูงสุด ไม่ต่ำกว่า 110 กิโลวัตต์ ขับเคลื่อน 4 ล้อ แบบดับเบิ้ลแค๊บ ราคาคันละ 1,000,000 บาท</t>
  </si>
  <si>
    <t xml:space="preserve">ครุภัณฑ์ยานพาหนะ </t>
  </si>
  <si>
    <t>รถโดยสารขนาด ขนาด 12 ที่นั่ง (ดีเซล) ปริมาตรกระบอกสูบ ไม่ต่ำกว่า 2,400 ซีซี หรือกำลังเครื่องยนต์สูงสุดไม่ต่ำกว่า 90 กิโลวัตต์ ราคาคันละ 1,358,000 บาท</t>
  </si>
  <si>
    <t>ศูนย์เทคโนโลยีสารสนเทศและการสื่อสารเขต 1 จังหวัดพระนครศรีอยุธยา  (ศสข. 1 พระนครศรีอยุธยา) P1000</t>
  </si>
  <si>
    <t>รถจักรยานยนต์ 110cc เกียร์อัตโนมัติ คันละ 50,000 บาท</t>
  </si>
  <si>
    <t>ศสข.1 อยุธยา</t>
  </si>
  <si>
    <t>ศูนย์เทคโนโลยีสารสนเทศและการสื่อสารเขต 2 จังหวัดชลบุรี  (ศสข. 2 ชลบุรี) P1000</t>
  </si>
  <si>
    <t>ศสข.2 ชลบุรี</t>
  </si>
  <si>
    <t>รถจักรยานยนต์ 120cc เกียร์อัตโนมัติ คันละ 51,400 บาท</t>
  </si>
  <si>
    <t>รถจักรยานยนต์ 110cc เกียร์ธรรมดา คันละ 43,500 บาท</t>
  </si>
  <si>
    <t>รถบรรทุกดีเซล ขนาด 1 ตัน ดับเบิ้ลแคป  คันละ 1,000,000 บาท.</t>
  </si>
  <si>
    <t>รถบรรทุกดีเซล ขนาด 1 ตัน (cab) คันละ 879,000 บาท</t>
  </si>
  <si>
    <t xml:space="preserve"> ค่าครุภัณฑ์อื่น </t>
  </si>
  <si>
    <t xml:space="preserve">ค่าครุภัณฑ์อื่น  </t>
  </si>
  <si>
    <t xml:space="preserve">ค่าครุภัณฑ์อื่น </t>
  </si>
  <si>
    <t>3) ค่าตกแต่งภายในและจัดซื้อครุภัณฑ์บ้านพักรองผู้ว่าราชการจังหวัดนครราชสีมา หลังที่ 3 - 4  จำนวน 2 หลัง ตำบลในเมือง อำเภอเมืองนครราชสีมา จังหวัดนครราชสีมา</t>
  </si>
  <si>
    <t>โคมไฟส่องสว่างบอลลูนไลท์ฉุกเฉิน</t>
  </si>
  <si>
    <t>ครุภัณฑ์ไฟฟ้าและวิทยุ</t>
  </si>
  <si>
    <t>เครื่องกำเนิดไฟฟ้า ขนาด 5 กิโลวัตต์ ราคาเครื่องละ 58,500 บาท</t>
  </si>
  <si>
    <t xml:space="preserve"> ครุภัณฑ์โฆษณาและเผยแพร่ </t>
  </si>
  <si>
    <t>กล้องโทรทัศน์วงจรปิดชนิดเครือข่าย แบบมุมมองคงที่ ราคาเครื่องละ 5,700 บาท</t>
  </si>
  <si>
    <t>จังหวัดฉะเชิงเทรา  P2400</t>
  </si>
  <si>
    <t>ครุภัณฑ์โฆษณาและเผยแพร่</t>
  </si>
  <si>
    <t>ฉะเชิงเทรา</t>
  </si>
  <si>
    <t>จังหวัดขอนแก่น P4000</t>
  </si>
  <si>
    <t>ขอนแก่น</t>
  </si>
  <si>
    <t>กล้องโทรทัศน์วงจรปิด (CCTV) พร้อมอุปกรณ์ เครื่องละ 59,000 บาท</t>
  </si>
  <si>
    <t xml:space="preserve"> ครุภัณฑ์โฆษณาและเผยแพร่</t>
  </si>
  <si>
    <t xml:space="preserve">กล้องโทรทัศน์วงจรปิดพร้อมอุปกรณ์ควบคุมและสั่งการ </t>
  </si>
  <si>
    <t>บุรีรัมย์</t>
  </si>
  <si>
    <t>จังหวัดบุรีรัมย์ P3100</t>
  </si>
  <si>
    <t xml:space="preserve">ครุภัณฑ์โฆษณาและเผยแพร่ </t>
  </si>
  <si>
    <t xml:space="preserve"> กล้องวงจรปิด (CCTV) ภายในศาลากลางจังหวัดและศูนย์ราชการจังหวัดอำนาจเจริญ เครื่องละ 51,444 บาท</t>
  </si>
  <si>
    <t>จังหวัดกาญจนบุรี P7100</t>
  </si>
  <si>
    <t>กล้องวงจรปิด (CCTV) ภายในศาลากลางจังหวัดกาญจนบุรี</t>
  </si>
  <si>
    <t>กาญจนบุรี</t>
  </si>
  <si>
    <t>ค่าเครื่องมัลติมีเนียโปรเจคเตอร์ ราคาเครื่องละ 21,500 บาท</t>
  </si>
  <si>
    <t>กล้องวงจรปิดชนิดเครือข่ายพร้อมอุปกรณ์ ชุดละ 212,666 บาท</t>
  </si>
  <si>
    <t>ครุภัณฑ์เครื่องเสียงและภาพ</t>
  </si>
  <si>
    <t>ศสส. สป. (กคฐ.)</t>
  </si>
  <si>
    <t>ครุภัณฑ์เครื่องเสียง</t>
  </si>
  <si>
    <t>เครื่องเสียงห้องประชุม ราคาชุดละ 100,000 บาท</t>
  </si>
  <si>
    <t>ทีวีขนาด 82 นิ้ว ราคาเครื่องละ 59,000 บาท</t>
  </si>
  <si>
    <t>ตู้เหล็กแบบ 4 ลิ้นชัก ราคาตู้ละ 6,200 บาท</t>
  </si>
  <si>
    <t>หน่วยงาน</t>
  </si>
  <si>
    <t>ศูนย์เทคโนโลยีสารสนเทศและการสื่อสาร สป. (ศสส.สป.) P1000</t>
  </si>
  <si>
    <t>จังหวัดลำพูน  P5100</t>
  </si>
  <si>
    <t>ค่าครุภัณฑ์สำนักงาน</t>
  </si>
  <si>
    <t>กองคลัง สป. (กค.) P1000</t>
  </si>
  <si>
    <t>เก้าอี้สำนักงานสำหรับผู้ปฏิบัติงาน ตัวละ 3,500 บาท</t>
  </si>
  <si>
    <t>กค.</t>
  </si>
  <si>
    <t>จังหวัดสระบุรี  P1900</t>
  </si>
  <si>
    <t>สระบุรี</t>
  </si>
  <si>
    <t>เครื่องปรับอากาศชนิดแขวน/ตั้งพื้น ขนาด 36000 บีทียู พร้อมติดตั้ง เครื่องละ 45,500 บาท</t>
  </si>
  <si>
    <t>เครื่องปรับอากาศชนิดติดผนัง ขนาด 24000 บีทียู (Inverter) พร้อมติดตั้ง เครื่องละ 37,900 บาท</t>
  </si>
  <si>
    <t>เครื่องปรับอากาศชนิดติดผนัง ขนาด 18000 บีทียู (Inverter) พร้อมติดตั้ง เครื่องละ 27,900 บาท</t>
  </si>
  <si>
    <t>√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</si>
  <si>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</t>
  </si>
  <si>
    <t>เอกสารแนบประกอบ</t>
  </si>
  <si>
    <t xml:space="preserve"> - </t>
  </si>
  <si>
    <t xml:space="preserve"> - บัญชีราคามาตรฐานครุภัณฑ์ สำนักงบประมาณ ธันวาคม 2564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</si>
  <si>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8 ข้อม 12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</si>
  <si>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9 ข้อม 14</t>
  </si>
  <si>
    <t xml:space="preserve"> - บัญชีราคามาตรฐานครุภัณฑ์ สำนักงบประมาณ ธันวาคม 2564 หน้า 23 ข้อ 10.6.1</t>
  </si>
  <si>
    <t xml:space="preserve">  - ใบเสนอราคา 3 ร้าน</t>
  </si>
  <si>
    <t>** ไม่ได้ของบ</t>
  </si>
  <si>
    <t xml:space="preserve"> - เทียบราคาจากเว็บไซด์ 3 ร้าน</t>
  </si>
  <si>
    <t xml:space="preserve"> - ครุภัณฑ์สำนักงานสำนักงานคณะกรรมการการศึกษาขั้นพื้นฐาน พ.ศ. 2564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</si>
  <si>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หน้า 26 ข้อ 57  กระทรวงดิจิทัลเพื่อเศรษฐกิจและสังคม</t>
  </si>
  <si>
    <t xml:space="preserve"> - บัญชีราคามาตรฐานครุภัณฑ์ สำนักงบประมาณ ธันวาคม 2561 หน้า 18 ข้อ 10.1.2</t>
  </si>
  <si>
    <t xml:space="preserve"> - บัญชีราคามาตรฐานครุภัณฑ์ สำนักงบประมาณ ธันวาคม 2564 ข้อ 10.3.2</t>
  </si>
  <si>
    <t xml:space="preserve"> - บัญชราคามาตรฐานครุภัณฑ์ สำนักงบประมาณ ธันวาคม 2564</t>
  </si>
  <si>
    <t xml:space="preserve"> - เปรียบเทียบราคาจากเว็บไวด์ 3 ร้าน</t>
  </si>
  <si>
    <t xml:space="preserve"> - บัญชีราคามาตรฐานครุภัณฑ์ สำนักงบประมาณ ธันวาคม 2564 หน้า 15 ข้อ 8.1.3</t>
  </si>
  <si>
    <t xml:space="preserve"> - แนบสำเนาเล่มทะเบียนรถ</t>
  </si>
  <si>
    <t>ใบเสนอราคา 3 ร้าน</t>
  </si>
  <si>
    <t>** ไม่ได้ขอ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</si>
  <si>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กระทรวงดิจิทัลเพื่อเศรษฐกิจและสังคม ประกาศ ณ วันที่ 30 ธันวาคม 2564  หน้า 6 ข้อ 9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</si>
  <si>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กระทรวงดิจิทัลเพื่อเศรษฐกิจและสังคม ประกาศ ณ วันที่ 30 ธันวาคม 2564  หน้า 21 ข้อ 47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</si>
  <si>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กระทรวงดิจิทัลเพื่อเศรษฐกิจและสังคม ประกาศ ณ วันที่ 30 ธันวาคม 2564  หน้า 22 ข้อ 48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</si>
  <si>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กระทรวงดิจิทัลเพื่อเศรษฐกิจและสังคม ประกาศ ณ วันที่ 30 ธันวาคม 2564  หน้า 25 ข้อ 55</t>
  </si>
  <si>
    <t xml:space="preserve"> - บัญชีราคามาตรฐานครุภัณฑ์ สำนักงบประมาณ ธันวาคม 2561  ข้อ 10.1.1</t>
  </si>
  <si>
    <t xml:space="preserve"> - บัญชีราคามาตรฐานครุภัณฑ์ สำนักงบประมาณ ธันวาคม 2561 ข้อ 10.4.1</t>
  </si>
  <si>
    <t xml:space="preserve"> - เกณฑ์ราคากลางและคุณลักษณะพื้นฐานการจัดหาอุปกรณ์และระบบคอมพิวเตอร์ ฉบับธันวาคม 2564 กระทรวงดิจิทัลเพื่อเศรฐกิจและสังคม  หน้า 21 ข้อ 47</t>
  </si>
  <si>
    <t xml:space="preserve"> - เกณฑ์ราคากลางและคุณลักษณะพื้นฐานการจัดหาอุปกรณ์และระบบคอมพิวเตอร์ ฉบับธันวาคม 2564 กระทรวงดิจิทัลเพื่อเศรฐกิจและสังคม  หน้า 21 ข้อ 45</t>
  </si>
  <si>
    <t xml:space="preserve"> *ขาด</t>
  </si>
  <si>
    <t xml:space="preserve"> - บัญชีราคามาตรฐานครุภัณฑ์ สำนักงบประมาณ ธันวาคม 2564 หน้า 22 ข้อ 10.3.2</t>
  </si>
  <si>
    <t>บัญชีราคามาตรฐานครุภัณฑ์ สำนักงบประมาณ ธันวาคม 2564 ข้อ 8.1.2</t>
  </si>
  <si>
    <t xml:space="preserve"> * ขาด</t>
  </si>
  <si>
    <t xml:space="preserve"> - ใบเสนอราคา 3 ร้าน</t>
  </si>
  <si>
    <t>* ไม่เอาแล้ว</t>
  </si>
  <si>
    <t xml:space="preserve"> * รอ</t>
  </si>
  <si>
    <t>*ขาด</t>
  </si>
  <si>
    <t>ไม่มี</t>
  </si>
  <si>
    <t xml:space="preserve"> - บัญชีราคามาตรฐษนครุภัณฑ์ สำนักงบประมาณ ธันวาคม 2564</t>
  </si>
  <si>
    <t xml:space="preserve"> - บัญชีราคามาตรฐานครุภัฯฑ์ สำนักงบประมาณ ธันวาคม 2564</t>
  </si>
  <si>
    <t>เครื่องคอมพิวเตอร์โน๊ตบุ๊ก เครื่องละ 24,000 บาท</t>
  </si>
  <si>
    <t xml:space="preserve">คอมพิวเตอร์สำนักงาน เครื่องละ 20,000 บาท </t>
  </si>
  <si>
    <t>เครื่องมัลติมีเดียโปรเจคเตอร์ ระดับ XGA ขนาด 4,000 ANSI Lumens เครื่องละ 29,900 บาท</t>
  </si>
  <si>
    <t>เครื่องพิมพ์ดีดไฟฟ้า เครื่องละ 22,000 บาท</t>
  </si>
  <si>
    <t xml:space="preserve"> - เกณฑ์ราคากลางและคุณลักษณะพื้นฐานการจัดหาอุปกรณ์และระบบคอมพิวเตอร์ ฉบับเดือนมีนาคม 2566 ประกาศ วันที่ 13 มีนาคม 2566</t>
  </si>
  <si>
    <t xml:space="preserve"> - แนบใบเสนอราคา 3 ร้าน</t>
  </si>
  <si>
    <t xml:space="preserve"> - แนบ ปร4, ปร5
 - แบบแปลน</t>
  </si>
  <si>
    <t xml:space="preserve"> ใบเสนอราคา 3 ร้าน</t>
  </si>
  <si>
    <t xml:space="preserve">เครื่องพิม์เลเซอร์ หรือ LED ขาวดำ (18 หน้า/นาที) เครื่องละ 2,600 บาท </t>
  </si>
  <si>
    <t xml:space="preserve"> - เกณฑ์ราคากลางและคุณลักษณะพื้นฐานการจัดหาอุปกรณ์และระบบคอมพิวเตอร์ เดือนธันวาคม 2564 ประกาศ ณ วันที่ 30 ธันวาคม 2564</t>
  </si>
  <si>
    <t xml:space="preserve">หมายเหตุ : อ้างอิง หนังสือจังหวัดยโสธร ด่วนที่สุด ที่ ยส 0017.3/17808 ลว. 19 ต.ค.2565 </t>
  </si>
  <si>
    <t>หนังสือจังหวัด ด่วนที่สุด ที่ อจ 0017.3/2956 ลว. 8 เม.ย.65</t>
  </si>
  <si>
    <t xml:space="preserve"> - ไม่มี</t>
  </si>
  <si>
    <t>งานจัดซื้อพร้อมติดตั้งกล้องโทรทัศน์วงจรปิด CCTV ศาลากลางจังหวัดขอนแก่น (หลังเก่า)</t>
  </si>
  <si>
    <t xml:space="preserve"> CCTV  35 ชุด พร้อมอุปกรณ์ประกอบ</t>
  </si>
  <si>
    <t xml:space="preserve"> - ปร 4 ปร5 (พ.ย.65)
 - แบบรูปรายการ</t>
  </si>
  <si>
    <t xml:space="preserve"> - บัญชีราคามาตรฐานครภัณฑ์ สำนักงบประมาณ ธันวาคม 2564 ข้อ 8.2.1</t>
  </si>
  <si>
    <t xml:space="preserve"> - แนบเล่มทะเบียนรถ
 - อายุ 25 ปี สร้างเมื่อ 2540</t>
  </si>
  <si>
    <t xml:space="preserve"> - บัญชีราคามาตรฐานครภัณฑ์ สำนักงบประมาณ ธันวาคม 2564 ข้อ 8.2.2</t>
  </si>
  <si>
    <t>เทียบใบเสนอราคา 3 ร้าน</t>
  </si>
  <si>
    <t xml:space="preserve">ติดตั้งเครื่องปรับอากาศห้องปฏิบัติราชการของผู้บริหารระดับจังหวัดห้องประชุมทุกห้อง ห้องปฏิบัติราชการสำนักงานจังหวัดหนองคาย (55 ตัว) ตำบลหนองกอมเกาะ อำเภอเมืองหนองคาย จังหวัดหนองคาย  </t>
  </si>
  <si>
    <t>ปรับปรุงซ่อมแซมเครื่องปรับอากาศภายในห้องปฏิบัติราชการผู้ว่าราชการจังหวัดร้อยเอ็ด และรองผู้ว่าราชการจังหวัดร้อยเอ็ด</t>
  </si>
  <si>
    <t>ตามหนังสือจังหวัดร้อยเอ็ด ที่ รอ 0017.3/5733 ลว. 5 เม.ย. 2565</t>
  </si>
  <si>
    <t xml:space="preserve"> - รอง ผวจ. อัตราใหม่ 
อ้างอิง หนังสือจังหวัดมุกดาหาร ที่ มห 0017.3/15151 ลว. 18 เม.ย. 2564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</si>
  <si>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กระทรวงดิจดทัลเพื่อเศรษฐกิจและสังคม</t>
  </si>
  <si>
    <t>โครงการรักษาความปลอดภัยด้วยระบบติดตั้งกล้องโทรทัศน์วงจรปิด อาคารอำนวยการศาลากลางจังหวัดเชียงใหม่ ตำบลช้างเผือก อำเภอเมืองเชียงใหม่ จังหวัดเชียงใหม่</t>
  </si>
  <si>
    <t xml:space="preserve"> -</t>
  </si>
  <si>
    <t xml:space="preserve"> * ไม่เอาแล้ว</t>
  </si>
  <si>
    <t>มี 1 ร้าน</t>
  </si>
  <si>
    <t xml:space="preserve"> - แนบแบบที่ 2</t>
  </si>
  <si>
    <t xml:space="preserve"> * ไม่เห็นในคำขอ</t>
  </si>
  <si>
    <t xml:space="preserve"> - บัญชีราคามาตรฐานครุภัณฑ์ สำนักงบประมาณ ธันวาคม 2564 ข้อ 7.2.1</t>
  </si>
  <si>
    <t>-</t>
  </si>
  <si>
    <t xml:space="preserve">  - ปร4 ปร5  (พ.ย.65)
 - แบบรูปรายการ (มี.ค.60)</t>
  </si>
  <si>
    <t xml:space="preserve"> - ปร4 ปร5 (พ.ย.65)
 - แบบรูปรายการ (พ.ย.65)</t>
  </si>
  <si>
    <t>ค่าปรับปรุงและซ่อมแซมฝ้าเพดานในส่วนที่รื้อถอนครุภัณฑ์เครื่องปรับอากาศ 15 ตัว</t>
  </si>
  <si>
    <t xml:space="preserve"> - เกณฑ์ราคากลางและคุณลักษณะพื้นฐานจัดหาอุปกรณ์และระบบคอมพิวเตอร์ ฉบับเดือนธันวาคม 2564 ประกาศ 30 ธันวาคม 2564 กระทรวงดิจิทัลเพื่อเศรษฐกิจและสังคม</t>
  </si>
  <si>
    <t xml:space="preserve"> - เกณฑ์ราคากลางและคุณลักษณะพื้นฐานของระบบกล้องโทรทัศน์วงจรปิด ฉบับเดือนมิถุนายน 2564  ประกาศ 11 มิถุนายน 2564 กระทรวงดิจิทัลเพื่อเศรษฐกิจและสังคม</t>
  </si>
  <si>
    <t xml:space="preserve"> - บัญชีราคามาตรฐานครุภัณฑ์ สำนักงบประมาณ ธันวาคม 2564 </t>
  </si>
  <si>
    <t xml:space="preserve"> - แบบที่ 2</t>
  </si>
  <si>
    <t xml:space="preserve"> - ใบเสนอราคา 1 ร้าน</t>
  </si>
  <si>
    <t xml:space="preserve">ปรับปรุงเครื่องปรับอากาศ ศาลากลางจังหวัดเพชรบูรณ์ อาคาร 1 </t>
  </si>
  <si>
    <t xml:space="preserve">เพื่อทดแทนของเดิมที่ชำรุด จำนวน 78 ชุด พร้อมรื้อถอนเครื่องปรับอากาศเดิม 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</si>
  <si>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6 ข้อ 9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</si>
  <si>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8 ข้อ 11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</si>
  <si>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22 ข้อ 50</t>
  </si>
  <si>
    <t xml:space="preserve"> - บัญชีราคามาตรฐานครุภัณฑ์ สำนักงบประมาณ ธันวาคม 2564 ข้อ 10.6.4</t>
  </si>
  <si>
    <t xml:space="preserve"> - บัญชีราคามาตรฐานครุภัณฑ์ สำนักงบประมาณ ธันวาคม 2564 ข้อ 10.6.1</t>
  </si>
  <si>
    <t xml:space="preserve"> - บัญชีราคามาตรฐานครุภัณฑ์ สำนักงบประมาณ ธันวาคม 2564  ข้อ 10.6.1</t>
  </si>
  <si>
    <t xml:space="preserve"> - แนบเล่มทะเบียนรถ</t>
  </si>
  <si>
    <t xml:space="preserve"> - บัญชีราคามาตรฐานครุภัณฑ์ สำนักงบประมาณ ธันวาคม 2564 ข้อ 8.2.2</t>
  </si>
  <si>
    <t xml:space="preserve"> - บัญชีราคามาตรฐานครุภัณฑ์ สำนักงบประมาณ ธันวาคม 2564 ข้อ 8.2.1</t>
  </si>
  <si>
    <t xml:space="preserve"> - ปร 4, ปร 5</t>
  </si>
  <si>
    <t xml:space="preserve"> * ซ้ำ</t>
  </si>
  <si>
    <t xml:space="preserve"> - มี 1 ร้าน</t>
  </si>
  <si>
    <t>หนังสือจังหวัดตรัง ด่วนที่สุด ที่ ตง 0017.3/9407 ลว. 12 ก.ย.2565</t>
  </si>
  <si>
    <t xml:space="preserve"> * ไม่มีในคำขอ งบปี 67 ของหนังสือจังหวัด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</si>
  <si>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27 ข้อ 62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</si>
  <si>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6 ข้อ 8</t>
  </si>
  <si>
    <t xml:space="preserve"> - บัญชีราคามาตรฐานครุภัณฑ์ สำนักงบประมาณ ธันวาคม 2564  ข้อ 10.6.3</t>
  </si>
  <si>
    <t xml:space="preserve"> - บัญชีราคามาตรฐานครุภัณฑ์ สำนักงบประมาณ ธันวาคม 2564  ข้อ 10.6.2</t>
  </si>
  <si>
    <t xml:space="preserve"> - บัญชีราคามาตรฐานครุภัณฑ์ สำนักงบประมาณ ธันวาคม 2564  ข้อ 8.2.1</t>
  </si>
  <si>
    <t xml:space="preserve"> - บัญชีราคามาตรฐานครุภัณฑ์ สำนักงบประมาณ ธันวาคม 2564  ข้อ 8.4</t>
  </si>
  <si>
    <t xml:space="preserve"> -  CCTV  32 ตัว</t>
  </si>
  <si>
    <t xml:space="preserve"> - ปร 4 ปร5</t>
  </si>
  <si>
    <t xml:space="preserve"> - ปร 4, ปร5</t>
  </si>
  <si>
    <t xml:space="preserve"> - ปร4, ปร5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</si>
  <si>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5 ข้อ 7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</si>
  <si>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8 ข้อ 12</t>
  </si>
  <si>
    <t xml:space="preserve"> - 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24 ข้อ 52</t>
  </si>
  <si>
    <t xml:space="preserve"> - แนบบัญชีราคามาตรฐานครุภัณฑ์ สำนักงบประมาณ ธันวาคม 2564 ข้อ 10.6.1</t>
  </si>
  <si>
    <t>* ขาด</t>
  </si>
  <si>
    <t xml:space="preserve"> - แนบบัญชีราคามาตรฐานครุภัณฑ์ สำนักงบประมาณ ธันวาคม 2564 ข้อ 8.8.2</t>
  </si>
  <si>
    <t>กล้องโทรทัศน์วงจรปิด (CCTV) พร้อมอุปกรณ์ วงเงิน420,250 บาท</t>
  </si>
  <si>
    <t>เครื่องปรับอากาศ ขนาด 18,000 BTU ราคาเครื่องละ 33,500 บาท</t>
  </si>
  <si>
    <t xml:space="preserve"> - แนบบัญชีราคามาตรฐานครุภัณฑ์ สำนักงบประมาณ ธันวาคม 2564 ข้อ 10.6.2</t>
  </si>
  <si>
    <t xml:space="preserve"> - เกณฑ์ราคากลางและคุณลักษณะพื้นฐานของระบบกล้องโทรทัศน์วงจรปิด ฉบับเดือนมิถุนายน 2564 ประกาศวันที่ 11 มิ.ย. 2564</t>
  </si>
  <si>
    <t>กล้องโทรทัศน์วงจรปิด (CCTV) พร้อมอุปกรณ์ เครื่องละ 22,000 บาท</t>
  </si>
  <si>
    <t xml:space="preserve"> - แนบบัญชีราคามาตรฐานครุภัณฑ์ สำนักงบประมาณ ธันวาคม 2564 ข้อ8.8.2</t>
  </si>
  <si>
    <t xml:space="preserve"> - แนบบัญชีราคามาตรฐานครุภัณฑ์ สำนักงบประมาณ ธันวาคม 2564 ข้อ 10.6.3</t>
  </si>
  <si>
    <t>เครื่องปรับอากาศแบบแยกส่วน ขนาด 26,000 BTU ราคาเครื่องละ 36,300 บาท</t>
  </si>
  <si>
    <t xml:space="preserve"> - แนบเกณฑ์ราคากลางและคุณลักษณะพื้นฐานของระบบกล้องโทรทัศน์วงตรปิด ฉบับเดือนมิถุนายน 2564 ประกาศ ณ วันที่ 11 มิถุนายน 2564  กระทรวงดิจิทัลเพื่อเศรษฐกิจและสังคม </t>
  </si>
  <si>
    <t>กล้องโทรทัศน์วงจรปิด (CCTV) พร้อมอุปกรณ์ 
 - กล้องวงจรปิด 6 ตัวๆละ 22,000 บาท วงเงิน 132,000 บาท ข้อ 4
 - อุปกรณ์บันทึกภาพ 1 ตัวๆละ 22,000 บาท วงเงิน 22,000 บาท ข้อ 10
- อุปกรณ์กระจายสัญญาน 1 ตัวๆ ละ 8,300 บาท ข้อ 13</t>
  </si>
  <si>
    <t xml:space="preserve"> - แนบบัญชีราคามาตรฐานครุภัณฑ์ สำนักงบประมาณ ธันวาคม 2564 ข้อ 8.2.2</t>
  </si>
  <si>
    <t xml:space="preserve"> - แบบบัญชีราคามาตรฐานครุภัณฑ์ สำนักงบประมาณ ธันวาคม 2564 ข้อ 10.6.1</t>
  </si>
  <si>
    <t xml:space="preserve">กล้องวงจรปิดชนิดเครือข่ายพร้อมอุปกรณ์ 
 1) กล้องโทรทัศน์วงจรปิดชนิดเครือข่าย 6 ตัวๆละ 3,000 บาท วงเงิน 18,000 บาท (ข้อ 1)
 2) กล้องโทรทัศน์วงจรปิดชนิดเครือข่าย ภายนอก สนจ. 2 ตัวๆละ 5,700 บาท วงเงิน 11,400 บาท  (ข้อ 2)
3) อุปกรณ์บันทึกภาพผ่านเครือข่าย แบบ 8 ช่อง 1 ตัวๆละ 22,000 บาท วงเงิน 22,000 บาท (ข้อ 10)
4) LED  TV  แบบ Smart TV ขนาด 55 นิ้ว 1 ตัวๆละ 23,000 บาท วงเงิน 23,000 บาท </t>
  </si>
  <si>
    <t xml:space="preserve"> - แนบเกณฑ์ราคากลางและคุณลักษณะพื้นฐานของระบบกล้องโทรทัศน์วงจรปิด ฉบับเดือนมิถุนายน 2564 ประกาศ ณ 11 มิ.ย. 2564 กระทรวงดิจิทัลเพื่อเศรษฐกิจและสังคม ข้อ 1, ข้อ 2, ข้อ 10 
 -  บัญชีราคามาตรฐาน สำนักงบประมาณ ธันวาคม 2564 ข้อ 5.4.3</t>
  </si>
  <si>
    <t xml:space="preserve"> - แนบเกณฑ์ราคากลางและคุณลักษณะพื้นฐานการจัดหาอุปกรณ์และระบบคอมพิวเตอร์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5 ข้อ 7</t>
  </si>
  <si>
    <t xml:space="preserve"> - แนบเกณฑ์ราคากลางและคุณลักษณะพื้นฐานการจัดหาอุปกรณ์และระบบคอมพิวเตอร์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8 ข้อ 12</t>
  </si>
  <si>
    <t xml:space="preserve"> - แนบเกณฑ์ราคากลางและคุณลักษณะพื้นฐานการจัดหาอุปกรณ์และระบบคอมพิวเตอร์ ฉบับเดือนธันวาคม 2564 ประกาศ ณ วันที่ 30 ธันวาคม 2564 หน้า 21 ข้อ 47</t>
  </si>
  <si>
    <t xml:space="preserve"> - แนบราคามาตรฐานครุภัณฑ์ สำนักงบประมาณ ธันวาคม 2564 ข้อ 10.6.1</t>
  </si>
  <si>
    <t xml:space="preserve"> * ไม่ได้ขอมา</t>
  </si>
  <si>
    <t>กล้องโทรทัศน์วงจรปิด (CCTV) พร้อมอุปกรณ์
 - กล้องภายใน แบบปรับมุมมอง 2 ตัวๆ ละ 61,000 บาท วงเงิน 122,000 บาท (หน้า 4 ข้อ 5)
 - กล้องภายนอกแบบคงที่ 6  ตัวๆละ 5,700 บาท วงเงิน 34,200 บาท (หน้า 1 ข้อ 2)
 - เครื่องบันทึกภาพ 1 ตัวๆละ 22,000 บาท (หน้า 9 ข้อ 10) 
 - POE 1.2 จำนวน 1 เครื่องๆละ 8,300 บาท (หน้า 11 ข้อ 13)
 - โทรทัศน์ แอล อี ดี ( LED TV) แบบ Smart TV ระดับความละเอียดจอภาพ 3840 x 2160 พิกเซล ขนาด 50 นิ้ว (ข้อ 5.4)</t>
  </si>
  <si>
    <t xml:space="preserve"> - แนบเกณฑ์ราคากลางและคุณลักษณะพื้นฐานของระบบกล้องโทรทัศน์วงจรปิด ฉบับเดือนมิถุนายน 2564 ประกาศ ณ วันที่ 11 มิ.ย. 2564 (หน้า 1, 4, 9, 11 ข้อ 2, 5, 10, 13)
 - บัญชีราคามาตรฐานครุภัณฑ์ สำนักงบประมาณ ธํนวาคม 2564 ข้อ 5.4</t>
  </si>
  <si>
    <t xml:space="preserve">  -แนบบัญชีราคามาตรฐานครุภัณฑ์ สำนักงบประมาณ ธันวาคม 2564 ข้อ 10.6.1</t>
  </si>
  <si>
    <t xml:space="preserve"> - แนบบัญชีราคามาตรฐานครุภัณฑ์ สำนักงบประมาณ ธันวาคม 2564 ข้อ 8.8.1</t>
  </si>
  <si>
    <t>รวม 7 รายการ</t>
  </si>
  <si>
    <t xml:space="preserve"> - แนบบัญชีราคามาตรฐานครุภัณฑ์ สำนักงบประมาณ เดือนธันวาคม 2564 ข้อ 10.6.1</t>
  </si>
  <si>
    <t xml:space="preserve"> - แบบบัญชีราคามาตรฐานครุภัณฑ์ สำนักงบประมาณ ข้อ 8.8.1</t>
  </si>
  <si>
    <t>กล้องวงปิด CCTV เครื่องละ 22,000 บาท</t>
  </si>
  <si>
    <t xml:space="preserve"> - เกณฑ์ราคากลางและคุณลักษณะพื้นฐษนของระบบกล้องโทรทัศน์วงจรปิด ฉบับเดือนมิถุนายน 2564 ประกาศ 11 มิ.ย. 2564 กระทรวงดิจิทัลเพื่อเศรษฐกิจและสังคม หน้า 3 ข้อ 4</t>
  </si>
  <si>
    <t>อุปกรณ์บันทึกภายผ่านเครือข่าย NVR แบบ 8 ช่อง</t>
  </si>
  <si>
    <t xml:space="preserve"> - เกณฑ์ราคากลางและคุณลักษณะพื้นฐษนของระบบกล้องโทรทัศน์วงจรปิด ฉบับเดือนมิถุนายน 2564 ประกาศ 11 มิ.ย. 2564 กระทรวงดิจิทัลเพื่อเศรษฐกิจและสังคม หน้า 9 ข้อ 10</t>
  </si>
  <si>
    <t>ใบเสนอราคา 1 ร้าน</t>
  </si>
  <si>
    <t>งบประมาณรายจ่ายประจำปีงบประมาณ พ.ศ. 2567</t>
  </si>
  <si>
    <t>ส่วนกลาง</t>
  </si>
  <si>
    <t>สำนักนโยบายและแผน สป. (สนผ.)</t>
  </si>
  <si>
    <t>สำนักพัฒนาและส่งเสริมการบริหารราชการจังหวัด (สบจ.)</t>
  </si>
  <si>
    <t>สำนักงานคณะกรรมการมาตรฐานการบริหารงานบุคคลส่วนท้องถิ่น สป. (สกถ.)</t>
  </si>
  <si>
    <t>สำนักกฎหมาย (สกม.)</t>
  </si>
  <si>
    <t>กองสารนิเทศ (สน.)</t>
  </si>
  <si>
    <t>กองกลาง  (กก.)</t>
  </si>
  <si>
    <t>กองการเจ้าหน้าที่ สป.</t>
  </si>
  <si>
    <t>กลุ่มยุทธศาสตร์การเปลี่ยนแปลงกระทรวงมหาดไทย (กยป.มท.)</t>
  </si>
  <si>
    <t>กองคลัง สป. (กค.)</t>
  </si>
  <si>
    <t>ศูนย์เทคโนโลยีสารสนเทศและการสื่อสาร สป. (ศสส.สป.)</t>
  </si>
  <si>
    <t>ศสข. 2 ชลบุรี</t>
  </si>
  <si>
    <t>ศสข. 1 พระนครศรีอยุธยา</t>
  </si>
  <si>
    <t>ศสข. 4 นครราชสีมา</t>
  </si>
  <si>
    <t>ศสข. 5 อุดรธานี</t>
  </si>
  <si>
    <t>ศสข. 6 ขอนแก่น</t>
  </si>
  <si>
    <t>ศสข. 7 เชียงใหม่</t>
  </si>
  <si>
    <t>ศูนย์เทคโนโลยีสารสนเทศและการสื่อสารเขต 7 จังหวัดเชียงใหม่  (ศสข. 7 เชียงใหม่ ) P1000</t>
  </si>
  <si>
    <t>ศสข. 8 พิษณุโลก</t>
  </si>
  <si>
    <t>ศสข. 9 นครสวรรค์</t>
  </si>
  <si>
    <t>ศสข. 10 สุราษฎร์ธานี</t>
  </si>
  <si>
    <t>ศสข. 11 นครศรีธรรมราช</t>
  </si>
  <si>
    <t>ส่วนภูมิภาค</t>
  </si>
  <si>
    <t>สรุปตารางรายการงบลงทุน (ครุภัณฑ์) สำนักงานปลัดกระทรวงมหาดไทย</t>
  </si>
  <si>
    <t>อยุธยา</t>
  </si>
  <si>
    <t>ตาก</t>
  </si>
  <si>
    <t>เอกสารครบ</t>
  </si>
  <si>
    <t>ขาดแบบ 1 (ค่าครุภัณฑ์เครื่องเสียงโสตทัศนูปกรณ์)</t>
  </si>
  <si>
    <t>ขาดแบบ 1 (ค่าติดตั้งโคมโซล่าเซลล์โรงรถ)</t>
  </si>
  <si>
    <t>เอกสารไม่ครบ</t>
  </si>
  <si>
    <t>ü</t>
  </si>
  <si>
    <t>ขาดแบบ 1 และใบเสนอราคา (ติดตั้งเครื่องปรับอากาศ)</t>
  </si>
  <si>
    <t>ขาดแบบ 1 และใบเสนอราคา (ค่าครุภัณฑ์บ้านพักรองผู้ว่าราชการจังหวัด)</t>
  </si>
  <si>
    <t>ขาดแบบ 1 และใบเสนอราคา (ปรับปรุงซ่อมแซมเครื่องปรับอากาศ)</t>
  </si>
  <si>
    <t>ขาดแบบ 1 (โครงการรักษาความปลอดภัยด้วยระบบติดตั้งกล้องโทรทัศน์วงจรปิด)</t>
  </si>
  <si>
    <t>ขาดแบบ 1 และใบเสนอราคา (เครื่องปรับอากาศ แบบแยกส่วน ขนาด 18,000 BTU)</t>
  </si>
  <si>
    <t>ขาดแบบ 1 และใบเสนอราคา (รถบรรทุก (ดีเซล))</t>
  </si>
  <si>
    <t>ขาดแบบ 1 และใบเสนอราคา (ค่าปรับปรุงและซ่อมแซมฝ้าเพดาน)</t>
  </si>
  <si>
    <t>1.ขาดแบบ 1 และใบเสนอราคา 
  - อุปกรณ์ระบบห้องประชุม
  - อุปกรณ์กระจายสัญญาณแบบไร้สาย WIFI 
  - ระบบอินเตอร์เน็ต
  - อุปกรณ์กระจายสัญญาณ Switching Gigabit 24 CH
  - อุปกรณ์กระจายสัญญาณX(L2 Switch)
2.ขาดแบบ 1
  - เครื่องทำลายเอกสาร แบบตัดตรง 
  - โต๊ะคอมพิวเตอร์
  - ตู้บานเลื่อนกระจก 4 ฟุต
  - กล้องโทรทัศน์วงจรปิดชนิดเครือข่าย</t>
  </si>
  <si>
    <t>ขาดแบบ 1 และใบเสนอราคามีมาเพียง 1 ร้าน 
- เก้าอี้สำนักงาน สำหรับระดับชำนาญการพิเศษ
- เก้าอี้สำนักงาน สำหรับระดับปฏิบัติการ ชำนาญการ</t>
  </si>
  <si>
    <t>ขาดใบเสนอราคามีมาเพียง 1 ร้าน (ลิฟต์โดยสารของศาลากลางจังหวัด)</t>
  </si>
  <si>
    <t>ขาดแบบ 1 (กล้องวงจรปิด (CCTV))</t>
  </si>
  <si>
    <t>ขาดใบเสนอราคา 
 - เก้าอี้สำนักงาน สำหรับระดับชำนาญการพิเศษ 
 - เก้าอี้สำนักงาน สำหรับระดับปฏิบัติการ/ชำนาญการ 
 - เก้าอี้ประชุม
 - ตู้เก็บเอกสาร แบบ 2 บานเปิด
 - ตู้เอกสารบานเลื่อนแบบใส 4 ฟุต</t>
  </si>
  <si>
    <t>ขาดใบเสนอราคา (เก้าอี้ประชุม)</t>
  </si>
  <si>
    <t xml:space="preserve">1. ขาดแบบ 1
 - เครื่องปรับอากาศ ขนาด 37,000 BTU
2. ขาดแบบ 1 และใบเสนอราคา
 - ค่าเครื่องมัลติมีเนียโปรเจคเตอร์
 - ค่าติดตั้งผ้าม่านบ้านพักรองผู้ว่าราชการจังหวัด </t>
  </si>
  <si>
    <t>ขาดแบบ 1 และใบเสนอราคามีมาเพียง 1 ร้าน (เครื่องปรับอากาศ แบบแยกส่วน ขนาด 36,000 BTU)</t>
  </si>
  <si>
    <t xml:space="preserve">ขาดแบบ 1 และใบเสนอราคา
 - อุปกรณ์กระจายสัญญาณแบบ PoE (PoE L2 Switch) ระบบ CCTV ขนาด 8 ช่อง
 - เครื่องปรับอากาศ แบบแยกส่วน ขนาด 36,000 BTU </t>
  </si>
  <si>
    <t>ขาดแบบ 1 และใบเสนอราคา
 - เครื่องปรับอากาศแบบติดผนัง (ระบบ Inverter) ขนาด 12,000 BTU
 - เครื่องปรับอากาศ แบบติดผนัง ขนาด 24,000 BTU
 - เครื่องปรับอากาศ
 - เก้าอี้บุนวมและโต๊ะหน้าขาว</t>
  </si>
  <si>
    <t>1. ขาดแบบ 1
 - เครื่องพิมพ์สำเนาระบบดิจิตอล 
2. ขาดแบบ 1 และใบเสนอราคา
 - เครื่องทำลายเอกสาร แบบตัดละเอียด</t>
  </si>
  <si>
    <t>ขาดใบเสนอราคา (เครื่องพิมพ์ดีดไฟฟ้า)</t>
  </si>
  <si>
    <t xml:space="preserve">ขาดเอกสารแนบประกอบ
 - เครื่องพิมพ์ดีดไฟฟ้า
 - เก้าอี้สำนักงาน สำหรับระดับปฏิบัติการ/ชำนาญการ </t>
  </si>
  <si>
    <t>ขาดแบบ 1 และเอกสารแนบประกอบ (เก้าอี้สำนักงานสำหรับผู้ปฏิบัติงาน)</t>
  </si>
  <si>
    <t>ขาดแบบ 1 และเอกสารแนบประกอบ
 - เครื่องทำลายเอกสาร แบบตัดละเอียด
 - ครุภัณฑ์เครื่องเสียงและภาพ</t>
  </si>
  <si>
    <t>ขาดแบบ 1 (รถจักรยานยนต์ 110cc เกียร์อัตโนมัติ)</t>
  </si>
  <si>
    <t>1. ขาดแบบ 1 และใบเสนอราคา
 - เครื่องโทรสารระบบเลเซอร์
 - เครื่องทำลายเอกสาร 
 - เก้าอี้ทํางาน เก้าอี้ระดับ 3-6
 - ชุดโต๊ะประชุมขนาด 150*10 พร้อมเก้าอี้ประชุม
2. ขาดใบเสนอราคา
 - ครุภัณฑ์เครื่องเสียง</t>
  </si>
  <si>
    <t>ขาดแบบ 1 และใบเสนอราคา (ครุภัณฑ์เครื่องเสียง)</t>
  </si>
  <si>
    <t>ขาดแบบ 1 
 - เครื่องคอมพิวเตอร์ สำหรับงานประมวลผล
 - เครื่องพิมพ์เลเซอร์ หรือ LED สี ชนิด Network
 - เครื่องคอมพิวเตอร์โน๊ตบุ๊ก สำหรับงานประมวลผล</t>
  </si>
  <si>
    <t>ขาดแบบ 1 และใบเสนอราคา (กล้องวงจรปิดชนิดเครือข่ายพร้อมอุปกรณ์)</t>
  </si>
  <si>
    <t>ขาดแบบ 1 และใบเสนอราคา
 - เก้าอี้ระดับ 3-6
 - เครื่องดูดฝุ่น ขนาด 15 ลิตร</t>
  </si>
  <si>
    <t>1. ขาดแบบ 1 และใบเสนอราคา
 - เครื่องทําลายเอกสาร แบบตัดละเอียด
 - เก้าอี้พนักพิง
 - เก้าอี้ผู้บริหาร
 - ตู้เหล็กบานเลื่อนกระจก จัดเก็บเอกสาร 4 ชั้น ขนาด 91.7x45.7x180 ซม.
 - โต๊ะประชุม โต๊ะประชุมตัวต่อ ขนาด 600x180 ซม.
 - เครื่องดูดฝุ่น ขนาด 25 ลิตร 
 - ครุภัณฑ์เครื่องเสียง
2. ขาดแบบ 1
 - รถจักรยานยนต์ 110cc เกียร์ธรรมดา</t>
  </si>
  <si>
    <t>1. ขาดแบบ 1 และใบเสนอราคา
 - เครื่องทําลายเอกสาร แบบตัดละเอียด
 - เครื่องถ่ายเอกสารดิจิตอล (ขาว-ดำ) 
2. ขาดแบบ 1
 - กล้องวงปิด CCTV
 - อุปกรณ์บันทึกภายผ่านเครือข่าย NVR แบบ 8 ช่อง
 - โคมไฟส่องสว่างบอลลูนไลท์ฉุกเฉิน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</si>
</sst>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4" fontId="3" fillId="2" borderId="6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164" fontId="4" fillId="0" borderId="1" xfId="1" applyNumberFormat="1" applyFont="1" applyBorder="1" applyAlignment="1">
      <alignment vertical="top"/>
    </xf>
    <xf numFmtId="0" fontId="3" fillId="0" borderId="0" xfId="0" applyFont="1"/>
    <xf numFmtId="0" fontId="2" fillId="0" borderId="0" xfId="0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164" fontId="3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vertical="top"/>
    </xf>
    <xf numFmtId="164" fontId="4" fillId="4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3" fontId="3" fillId="5" borderId="1" xfId="1" applyFont="1" applyFill="1" applyBorder="1"/>
    <xf numFmtId="43" fontId="3" fillId="5" borderId="1" xfId="1" applyFont="1" applyFill="1" applyBorder="1" applyAlignment="1">
      <alignment horizontal="center"/>
    </xf>
    <xf numFmtId="43" fontId="3" fillId="6" borderId="1" xfId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 wrapText="1"/>
    </xf>
    <xf numFmtId="0" fontId="2" fillId="7" borderId="0" xfId="0" applyFont="1" applyFill="1"/>
    <xf numFmtId="0" fontId="2" fillId="7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3" fontId="9" fillId="7" borderId="1" xfId="1" applyFont="1" applyFill="1" applyBorder="1" applyAlignment="1">
      <alignment horizontal="center"/>
    </xf>
    <xf numFmtId="0" fontId="2" fillId="5" borderId="1" xfId="0" applyFont="1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top" wrapText="1"/>
    </xf>
    <xf numFmtId="43" fontId="2" fillId="7" borderId="1" xfId="1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7" borderId="0" xfId="0" applyFont="1" applyFill="1" applyAlignment="1">
      <alignment vertical="top"/>
    </xf>
    <xf numFmtId="0" fontId="2" fillId="7" borderId="5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43" fontId="2" fillId="8" borderId="1" xfId="1" applyFont="1" applyFill="1" applyBorder="1" applyAlignment="1">
      <alignment vertical="top"/>
    </xf>
    <xf numFmtId="43" fontId="2" fillId="8" borderId="1" xfId="1" applyFont="1" applyFill="1" applyBorder="1"/>
    <xf numFmtId="43" fontId="2" fillId="0" borderId="0" xfId="1" applyFont="1" applyAlignment="1">
      <alignment vertical="top"/>
    </xf>
    <xf numFmtId="43" fontId="3" fillId="0" borderId="1" xfId="1" applyFont="1" applyBorder="1" applyAlignment="1">
      <alignment horizontal="center" vertical="top"/>
    </xf>
    <xf numFmtId="43" fontId="3" fillId="6" borderId="1" xfId="1" applyFont="1" applyFill="1" applyBorder="1" applyAlignment="1">
      <alignment horizontal="center" vertical="top"/>
    </xf>
    <xf numFmtId="43" fontId="3" fillId="5" borderId="1" xfId="1" applyFont="1" applyFill="1" applyBorder="1" applyAlignment="1">
      <alignment horizontal="center" vertical="top"/>
    </xf>
    <xf numFmtId="43" fontId="3" fillId="5" borderId="1" xfId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4" fontId="3" fillId="2" borderId="5" xfId="1" applyNumberFormat="1" applyFont="1" applyFill="1" applyBorder="1" applyAlignment="1">
      <alignment horizontal="center" vertical="top"/>
    </xf>
    <xf numFmtId="164" fontId="3" fillId="2" borderId="6" xfId="1" applyNumberFormat="1" applyFont="1" applyFill="1" applyBorder="1" applyAlignment="1">
      <alignment horizontal="center" vertical="top"/>
    </xf>
    <xf numFmtId="164" fontId="3" fillId="2" borderId="3" xfId="1" applyNumberFormat="1" applyFont="1" applyFill="1" applyBorder="1" applyAlignment="1">
      <alignment horizontal="center" vertical="top"/>
    </xf>
    <xf numFmtId="164" fontId="3" fillId="2" borderId="4" xfId="1" applyNumberFormat="1" applyFont="1" applyFill="1" applyBorder="1" applyAlignment="1">
      <alignment horizontal="center" vertical="top"/>
    </xf>
    <xf numFmtId="164" fontId="3" fillId="2" borderId="2" xfId="1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tabSelected="1" zoomScale="85" zoomScaleNormal="85" workbookViewId="0">
      <selection activeCell="J8" sqref="J8"/>
    </sheetView>
  </sheetViews>
  <sheetFormatPr defaultColWidth="9.140625" defaultRowHeight="24"/>
  <cols>
    <col min="1" max="2" width="9.140625" style="2"/>
    <col min="3" max="3" width="35.5703125" style="70" customWidth="1"/>
    <col min="4" max="4" width="15.7109375" style="98" bestFit="1" customWidth="1"/>
    <col min="5" max="5" width="15.7109375" style="72" customWidth="1"/>
    <col min="6" max="6" width="83" style="1" bestFit="1" customWidth="1"/>
    <col min="7" max="16384" width="9.140625" style="1"/>
  </cols>
  <sheetData>
    <row r="1" spans="1:12">
      <c r="A1" s="103" t="s">
        <v>458</v>
      </c>
      <c r="B1" s="103"/>
      <c r="C1" s="103"/>
      <c r="D1" s="103"/>
      <c r="E1" s="103"/>
      <c r="F1" s="103"/>
    </row>
    <row r="2" spans="1:12">
      <c r="A2" s="103" t="s">
        <v>434</v>
      </c>
      <c r="B2" s="103"/>
      <c r="C2" s="103"/>
      <c r="D2" s="103"/>
      <c r="E2" s="103"/>
      <c r="F2" s="103"/>
    </row>
    <row r="3" spans="1:12">
      <c r="D3" s="98" t="s">
        <v>2</v>
      </c>
    </row>
    <row r="4" spans="1:12" s="71" customFormat="1">
      <c r="A4" s="107" t="s">
        <v>3</v>
      </c>
      <c r="B4" s="108"/>
      <c r="C4" s="73" t="s">
        <v>278</v>
      </c>
      <c r="D4" s="99" t="s">
        <v>6</v>
      </c>
      <c r="E4" s="104" t="s">
        <v>7</v>
      </c>
      <c r="F4" s="105"/>
      <c r="H4" s="71" t="s">
        <v>9</v>
      </c>
    </row>
    <row r="5" spans="1:12" s="71" customFormat="1">
      <c r="A5" s="109" t="s">
        <v>8</v>
      </c>
      <c r="B5" s="110"/>
      <c r="C5" s="111"/>
      <c r="D5" s="100">
        <f>D6+D29</f>
        <v>81005600</v>
      </c>
      <c r="E5" s="78" t="s">
        <v>461</v>
      </c>
      <c r="F5" s="84" t="s">
        <v>464</v>
      </c>
      <c r="H5" s="71" t="s">
        <v>9</v>
      </c>
    </row>
    <row r="6" spans="1:12" s="71" customFormat="1">
      <c r="A6" s="106" t="s">
        <v>435</v>
      </c>
      <c r="B6" s="106"/>
      <c r="C6" s="74"/>
      <c r="D6" s="101">
        <f>SUM(D7:D28)</f>
        <v>16521200</v>
      </c>
      <c r="E6" s="77"/>
      <c r="F6" s="85"/>
    </row>
    <row r="7" spans="1:12" s="82" customFormat="1">
      <c r="A7" s="79">
        <v>1</v>
      </c>
      <c r="B7" s="79">
        <v>1000</v>
      </c>
      <c r="C7" s="89" t="s">
        <v>436</v>
      </c>
      <c r="D7" s="90">
        <f>สนผ.1!E17</f>
        <v>132900</v>
      </c>
      <c r="E7" s="86" t="s">
        <v>465</v>
      </c>
      <c r="F7" s="83"/>
    </row>
    <row r="8" spans="1:12" s="82" customFormat="1" ht="48">
      <c r="A8" s="79">
        <v>2</v>
      </c>
      <c r="B8" s="79">
        <v>1000</v>
      </c>
      <c r="C8" s="89" t="s">
        <v>437</v>
      </c>
      <c r="D8" s="90">
        <f>สบจ.2!E18</f>
        <v>2800200</v>
      </c>
      <c r="E8" s="86" t="s">
        <v>465</v>
      </c>
      <c r="F8" s="83"/>
    </row>
    <row r="9" spans="1:12" s="82" customFormat="1" ht="48">
      <c r="A9" s="79">
        <v>3</v>
      </c>
      <c r="B9" s="79">
        <v>1000</v>
      </c>
      <c r="C9" s="89" t="s">
        <v>438</v>
      </c>
      <c r="D9" s="90">
        <f>สกถ.3!E17</f>
        <v>306800</v>
      </c>
      <c r="E9" s="86" t="s">
        <v>465</v>
      </c>
      <c r="F9" s="91"/>
    </row>
    <row r="10" spans="1:12" s="82" customFormat="1">
      <c r="A10" s="79">
        <v>4</v>
      </c>
      <c r="B10" s="79">
        <v>1000</v>
      </c>
      <c r="C10" s="89" t="s">
        <v>439</v>
      </c>
      <c r="D10" s="90">
        <f>สกม.6!E13</f>
        <v>153900</v>
      </c>
      <c r="E10" s="86" t="s">
        <v>465</v>
      </c>
      <c r="F10" s="83"/>
    </row>
    <row r="11" spans="1:12" s="82" customFormat="1">
      <c r="A11" s="79">
        <v>5</v>
      </c>
      <c r="B11" s="79">
        <v>1000</v>
      </c>
      <c r="C11" s="89" t="s">
        <v>440</v>
      </c>
      <c r="D11" s="90">
        <f>สน.7!E18</f>
        <v>2355940</v>
      </c>
      <c r="E11" s="86" t="s">
        <v>465</v>
      </c>
      <c r="F11" s="83"/>
    </row>
    <row r="12" spans="1:12" s="82" customFormat="1">
      <c r="A12" s="79">
        <v>6</v>
      </c>
      <c r="B12" s="79">
        <v>1000</v>
      </c>
      <c r="C12" s="89" t="s">
        <v>441</v>
      </c>
      <c r="D12" s="90">
        <f>กก.10!E18</f>
        <v>454560</v>
      </c>
      <c r="E12" s="86" t="s">
        <v>465</v>
      </c>
      <c r="F12" s="83"/>
    </row>
    <row r="13" spans="1:12" s="82" customFormat="1">
      <c r="A13" s="79">
        <v>7</v>
      </c>
      <c r="B13" s="79">
        <v>1000</v>
      </c>
      <c r="C13" s="89" t="s">
        <v>442</v>
      </c>
      <c r="D13" s="90">
        <f>กจ.11!E17</f>
        <v>116000</v>
      </c>
      <c r="E13" s="86" t="s">
        <v>465</v>
      </c>
      <c r="F13" s="83"/>
      <c r="L13" s="82" t="s">
        <v>9</v>
      </c>
    </row>
    <row r="14" spans="1:12" s="92" customFormat="1" ht="72">
      <c r="A14" s="79">
        <v>8</v>
      </c>
      <c r="B14" s="79">
        <v>1000</v>
      </c>
      <c r="C14" s="89" t="s">
        <v>443</v>
      </c>
      <c r="D14" s="90">
        <f>กยป.12!E17</f>
        <v>878200</v>
      </c>
      <c r="E14" s="96"/>
      <c r="F14" s="89" t="s">
        <v>485</v>
      </c>
    </row>
    <row r="15" spans="1:12" s="82" customFormat="1">
      <c r="A15" s="79">
        <v>9</v>
      </c>
      <c r="B15" s="79">
        <v>1000</v>
      </c>
      <c r="C15" s="89" t="s">
        <v>444</v>
      </c>
      <c r="D15" s="90">
        <f>กค.20!E11</f>
        <v>80500</v>
      </c>
      <c r="E15" s="97"/>
      <c r="F15" s="83" t="s">
        <v>486</v>
      </c>
      <c r="L15" s="82" t="s">
        <v>9</v>
      </c>
    </row>
    <row r="16" spans="1:12" s="82" customFormat="1" ht="72">
      <c r="A16" s="93">
        <v>10</v>
      </c>
      <c r="B16" s="93">
        <v>1000</v>
      </c>
      <c r="C16" s="89" t="s">
        <v>445</v>
      </c>
      <c r="D16" s="90">
        <f>ศสส.4!E14</f>
        <v>1638200</v>
      </c>
      <c r="E16" s="97"/>
      <c r="F16" s="88" t="s">
        <v>487</v>
      </c>
    </row>
    <row r="17" spans="1:10" s="82" customFormat="1">
      <c r="A17" s="94"/>
      <c r="B17" s="94"/>
      <c r="C17" s="89" t="s">
        <v>447</v>
      </c>
      <c r="D17" s="90">
        <f>'ศสข.1 พระนครศรีอยุธยา'!E12</f>
        <v>470300</v>
      </c>
      <c r="E17" s="97"/>
      <c r="F17" s="83" t="s">
        <v>488</v>
      </c>
    </row>
    <row r="18" spans="1:10" s="82" customFormat="1">
      <c r="A18" s="94"/>
      <c r="B18" s="94"/>
      <c r="C18" s="89" t="s">
        <v>446</v>
      </c>
      <c r="D18" s="90">
        <f>'ศสข.2 ชลบุรี'!E10</f>
        <v>51400</v>
      </c>
      <c r="E18" s="86" t="s">
        <v>465</v>
      </c>
      <c r="F18" s="83"/>
    </row>
    <row r="19" spans="1:10" s="82" customFormat="1" ht="168">
      <c r="A19" s="94"/>
      <c r="B19" s="94"/>
      <c r="C19" s="89" t="s">
        <v>211</v>
      </c>
      <c r="D19" s="90">
        <f>'ศสข.3 นครปฐม'!E19</f>
        <v>814900</v>
      </c>
      <c r="E19" s="97"/>
      <c r="F19" s="88" t="s">
        <v>489</v>
      </c>
    </row>
    <row r="20" spans="1:10" s="82" customFormat="1">
      <c r="A20" s="94"/>
      <c r="B20" s="94"/>
      <c r="C20" s="89" t="s">
        <v>448</v>
      </c>
      <c r="D20" s="90">
        <f>'ศสข.4 นครราชสีมา'!E15</f>
        <v>305700</v>
      </c>
      <c r="E20" s="86" t="s">
        <v>465</v>
      </c>
      <c r="F20" s="83"/>
    </row>
    <row r="21" spans="1:10" s="82" customFormat="1">
      <c r="A21" s="94"/>
      <c r="B21" s="94"/>
      <c r="C21" s="89" t="s">
        <v>449</v>
      </c>
      <c r="D21" s="90">
        <f>'ศสข.5 อุดรธานี'!E10</f>
        <v>41500</v>
      </c>
      <c r="E21" s="86" t="s">
        <v>465</v>
      </c>
      <c r="F21" s="83"/>
      <c r="J21" s="82" t="s">
        <v>9</v>
      </c>
    </row>
    <row r="22" spans="1:10" s="82" customFormat="1">
      <c r="A22" s="94"/>
      <c r="B22" s="94"/>
      <c r="C22" s="89" t="s">
        <v>450</v>
      </c>
      <c r="D22" s="90">
        <f>'ศสข.6 ขอนแก่น'!E14</f>
        <v>280500</v>
      </c>
      <c r="E22" s="86" t="s">
        <v>465</v>
      </c>
      <c r="F22" s="83"/>
    </row>
    <row r="23" spans="1:10" s="82" customFormat="1">
      <c r="A23" s="94"/>
      <c r="B23" s="94"/>
      <c r="C23" s="89" t="s">
        <v>451</v>
      </c>
      <c r="D23" s="90">
        <f>'ศสข.7 เชียงใหม่'!E17</f>
        <v>2076500</v>
      </c>
      <c r="E23" s="97"/>
      <c r="F23" s="83" t="s">
        <v>490</v>
      </c>
    </row>
    <row r="24" spans="1:10" s="82" customFormat="1" ht="96">
      <c r="A24" s="94"/>
      <c r="B24" s="94"/>
      <c r="C24" s="89" t="s">
        <v>453</v>
      </c>
      <c r="D24" s="90">
        <f>'ศสข.8 พิษณุโลก'!E18</f>
        <v>427400</v>
      </c>
      <c r="E24" s="97"/>
      <c r="F24" s="88" t="s">
        <v>491</v>
      </c>
    </row>
    <row r="25" spans="1:10" s="82" customFormat="1">
      <c r="A25" s="94"/>
      <c r="B25" s="94"/>
      <c r="C25" s="89" t="s">
        <v>454</v>
      </c>
      <c r="D25" s="90">
        <f>'ศสข.9 นครสวรรค์'!E12</f>
        <v>440200</v>
      </c>
      <c r="E25" s="97"/>
      <c r="F25" s="83" t="s">
        <v>492</v>
      </c>
    </row>
    <row r="26" spans="1:10" s="82" customFormat="1" ht="72">
      <c r="A26" s="94"/>
      <c r="B26" s="94"/>
      <c r="C26" s="89" t="s">
        <v>455</v>
      </c>
      <c r="D26" s="90">
        <f>'ศสข.10 สุราษฎร์ธานี'!E15</f>
        <v>282900</v>
      </c>
      <c r="E26" s="97"/>
      <c r="F26" s="88" t="s">
        <v>493</v>
      </c>
      <c r="J26" s="82" t="s">
        <v>9</v>
      </c>
    </row>
    <row r="27" spans="1:10" s="82" customFormat="1" ht="240">
      <c r="A27" s="94"/>
      <c r="B27" s="94"/>
      <c r="C27" s="89" t="s">
        <v>456</v>
      </c>
      <c r="D27" s="90">
        <f>'ศสข.11 นครศรีธรรมราช'!E21</f>
        <v>475700</v>
      </c>
      <c r="E27" s="97"/>
      <c r="F27" s="88" t="s">
        <v>494</v>
      </c>
    </row>
    <row r="28" spans="1:10" s="82" customFormat="1" ht="168">
      <c r="A28" s="95"/>
      <c r="B28" s="95"/>
      <c r="C28" s="89" t="s">
        <v>150</v>
      </c>
      <c r="D28" s="90">
        <f>'ศสข.12 สงขลา'!E21</f>
        <v>1937000</v>
      </c>
      <c r="E28" s="97"/>
      <c r="F28" s="88" t="s">
        <v>495</v>
      </c>
    </row>
    <row r="29" spans="1:10">
      <c r="A29" s="106" t="s">
        <v>457</v>
      </c>
      <c r="B29" s="106"/>
      <c r="C29" s="75"/>
      <c r="D29" s="102">
        <f>SUM(D30:D67)</f>
        <v>64484400</v>
      </c>
      <c r="E29" s="76"/>
      <c r="F29" s="87"/>
    </row>
    <row r="30" spans="1:10" s="82" customFormat="1" ht="120">
      <c r="A30" s="79">
        <v>1</v>
      </c>
      <c r="B30" s="80">
        <v>1100</v>
      </c>
      <c r="C30" s="81" t="s">
        <v>129</v>
      </c>
      <c r="D30" s="90">
        <f>'สมุทรปราการ 1100'!E13</f>
        <v>2061900</v>
      </c>
      <c r="E30" s="97"/>
      <c r="F30" s="88" t="s">
        <v>482</v>
      </c>
      <c r="J30" s="82" t="s">
        <v>9</v>
      </c>
    </row>
    <row r="31" spans="1:10" s="82" customFormat="1">
      <c r="A31" s="79">
        <v>2</v>
      </c>
      <c r="B31" s="80">
        <v>1400</v>
      </c>
      <c r="C31" s="81" t="s">
        <v>459</v>
      </c>
      <c r="D31" s="90">
        <f>'อยุธยา 1400'!E10</f>
        <v>546000</v>
      </c>
      <c r="E31" s="86" t="s">
        <v>465</v>
      </c>
      <c r="F31" s="83"/>
    </row>
    <row r="32" spans="1:10" s="82" customFormat="1" ht="96">
      <c r="A32" s="79">
        <v>3</v>
      </c>
      <c r="B32" s="80">
        <v>1500</v>
      </c>
      <c r="C32" s="81" t="s">
        <v>110</v>
      </c>
      <c r="D32" s="90">
        <f>'อ่างทอง 1500'!E11</f>
        <v>800000</v>
      </c>
      <c r="E32" s="97"/>
      <c r="F32" s="88" t="s">
        <v>483</v>
      </c>
    </row>
    <row r="33" spans="1:6" s="82" customFormat="1">
      <c r="A33" s="79">
        <v>4</v>
      </c>
      <c r="B33" s="80">
        <v>1900</v>
      </c>
      <c r="C33" s="81" t="s">
        <v>286</v>
      </c>
      <c r="D33" s="90">
        <f>'สระบุรี 1900'!E13</f>
        <v>139200</v>
      </c>
      <c r="E33" s="86" t="s">
        <v>465</v>
      </c>
      <c r="F33" s="83"/>
    </row>
    <row r="34" spans="1:6" s="82" customFormat="1">
      <c r="A34" s="79">
        <v>5</v>
      </c>
      <c r="B34" s="80">
        <v>2200</v>
      </c>
      <c r="C34" s="81" t="s">
        <v>165</v>
      </c>
      <c r="D34" s="90">
        <f>'จันทบุรี 2200'!E11</f>
        <v>1974000</v>
      </c>
      <c r="E34" s="86" t="s">
        <v>465</v>
      </c>
      <c r="F34" s="83"/>
    </row>
    <row r="35" spans="1:6" s="82" customFormat="1">
      <c r="A35" s="79">
        <v>6</v>
      </c>
      <c r="B35" s="80">
        <v>2300</v>
      </c>
      <c r="C35" s="81" t="s">
        <v>86</v>
      </c>
      <c r="D35" s="90">
        <f>'ตราด 2300'!E13</f>
        <v>279800</v>
      </c>
      <c r="E35" s="97"/>
      <c r="F35" s="83" t="s">
        <v>484</v>
      </c>
    </row>
    <row r="36" spans="1:6" s="82" customFormat="1">
      <c r="A36" s="79">
        <v>7</v>
      </c>
      <c r="B36" s="80">
        <v>2400</v>
      </c>
      <c r="C36" s="81" t="s">
        <v>257</v>
      </c>
      <c r="D36" s="90">
        <f>'ฉะเชิงเทรา 2400'!E10</f>
        <v>59000</v>
      </c>
      <c r="E36" s="86" t="s">
        <v>465</v>
      </c>
      <c r="F36" s="83"/>
    </row>
    <row r="37" spans="1:6" s="82" customFormat="1">
      <c r="A37" s="79">
        <v>8</v>
      </c>
      <c r="B37" s="80">
        <v>3000</v>
      </c>
      <c r="C37" s="81" t="s">
        <v>13</v>
      </c>
      <c r="D37" s="90">
        <f>'นครราชสีมา 3000'!E10</f>
        <v>999600</v>
      </c>
      <c r="E37" s="86" t="s">
        <v>465</v>
      </c>
      <c r="F37" s="83"/>
    </row>
    <row r="38" spans="1:6" s="82" customFormat="1">
      <c r="A38" s="79">
        <v>9</v>
      </c>
      <c r="B38" s="80">
        <v>3100</v>
      </c>
      <c r="C38" s="81" t="s">
        <v>263</v>
      </c>
      <c r="D38" s="90">
        <f>'บุรีรัมย์ 3100'!E10</f>
        <v>930700</v>
      </c>
      <c r="E38" s="86" t="s">
        <v>465</v>
      </c>
      <c r="F38" s="83"/>
    </row>
    <row r="39" spans="1:6" s="82" customFormat="1">
      <c r="A39" s="79">
        <v>10</v>
      </c>
      <c r="B39" s="80">
        <v>3300</v>
      </c>
      <c r="C39" s="81" t="s">
        <v>77</v>
      </c>
      <c r="D39" s="90">
        <f>'ศรีสะเกษ 3300'!E14</f>
        <v>537800</v>
      </c>
      <c r="E39" s="86" t="s">
        <v>465</v>
      </c>
      <c r="F39" s="83"/>
    </row>
    <row r="40" spans="1:6" s="82" customFormat="1">
      <c r="A40" s="79">
        <v>11</v>
      </c>
      <c r="B40" s="80">
        <v>3500</v>
      </c>
      <c r="C40" s="81" t="s">
        <v>170</v>
      </c>
      <c r="D40" s="90">
        <f>'ยโสธร 3500'!E10</f>
        <v>86000</v>
      </c>
      <c r="E40" s="86" t="s">
        <v>465</v>
      </c>
      <c r="F40" s="83"/>
    </row>
    <row r="41" spans="1:6" s="82" customFormat="1">
      <c r="A41" s="79">
        <v>12</v>
      </c>
      <c r="B41" s="80">
        <v>3700</v>
      </c>
      <c r="C41" s="81" t="s">
        <v>37</v>
      </c>
      <c r="D41" s="90">
        <f>'อำนาจเจริญ 3700'!E12</f>
        <v>960700</v>
      </c>
      <c r="E41" s="97"/>
      <c r="F41" s="83" t="s">
        <v>462</v>
      </c>
    </row>
    <row r="42" spans="1:6" s="82" customFormat="1">
      <c r="A42" s="79">
        <v>13</v>
      </c>
      <c r="B42" s="80">
        <v>4000</v>
      </c>
      <c r="C42" s="81" t="s">
        <v>259</v>
      </c>
      <c r="D42" s="90">
        <f>'ขอนแก่น 4000'!E10</f>
        <v>1670000</v>
      </c>
      <c r="E42" s="86" t="s">
        <v>465</v>
      </c>
      <c r="F42" s="83"/>
    </row>
    <row r="43" spans="1:6" s="82" customFormat="1">
      <c r="A43" s="79">
        <v>14</v>
      </c>
      <c r="B43" s="80">
        <v>4100</v>
      </c>
      <c r="C43" s="81" t="s">
        <v>40</v>
      </c>
      <c r="D43" s="90">
        <f>'อุดรธานี 4100'!E13</f>
        <v>1635500</v>
      </c>
      <c r="E43" s="97"/>
      <c r="F43" s="83" t="s">
        <v>463</v>
      </c>
    </row>
    <row r="44" spans="1:6" s="82" customFormat="1">
      <c r="A44" s="79">
        <v>15</v>
      </c>
      <c r="B44" s="80">
        <v>4300</v>
      </c>
      <c r="C44" s="81" t="s">
        <v>152</v>
      </c>
      <c r="D44" s="90">
        <f>'หนองคาย 4300'!E10</f>
        <v>3049000</v>
      </c>
      <c r="E44" s="97"/>
      <c r="F44" s="83" t="s">
        <v>466</v>
      </c>
    </row>
    <row r="45" spans="1:6" s="82" customFormat="1">
      <c r="A45" s="79">
        <v>16</v>
      </c>
      <c r="B45" s="80">
        <v>4500</v>
      </c>
      <c r="C45" s="81" t="s">
        <v>158</v>
      </c>
      <c r="D45" s="90">
        <f>'ร้อยเอ็ด 4500'!E10</f>
        <v>433000</v>
      </c>
      <c r="E45" s="97"/>
      <c r="F45" s="83" t="s">
        <v>468</v>
      </c>
    </row>
    <row r="46" spans="1:6" s="82" customFormat="1">
      <c r="A46" s="79">
        <v>17</v>
      </c>
      <c r="B46" s="80">
        <v>4900</v>
      </c>
      <c r="C46" s="81" t="s">
        <v>19</v>
      </c>
      <c r="D46" s="90">
        <f>'มุกดาหาร 4900'!E10</f>
        <v>706100</v>
      </c>
      <c r="E46" s="97"/>
      <c r="F46" s="83" t="s">
        <v>467</v>
      </c>
    </row>
    <row r="47" spans="1:6" s="82" customFormat="1">
      <c r="A47" s="79">
        <v>18</v>
      </c>
      <c r="B47" s="80">
        <v>5000</v>
      </c>
      <c r="C47" s="81" t="s">
        <v>44</v>
      </c>
      <c r="D47" s="90">
        <f>'เชียงใหม่ 5000'!E18</f>
        <v>1752300</v>
      </c>
      <c r="E47" s="97"/>
      <c r="F47" s="83" t="s">
        <v>469</v>
      </c>
    </row>
    <row r="48" spans="1:6" s="82" customFormat="1">
      <c r="A48" s="79">
        <v>19</v>
      </c>
      <c r="B48" s="80">
        <v>5100</v>
      </c>
      <c r="C48" s="81" t="s">
        <v>148</v>
      </c>
      <c r="D48" s="90">
        <f>'ลำพูน 5100'!E10</f>
        <v>54400</v>
      </c>
      <c r="E48" s="97"/>
      <c r="F48" s="83" t="s">
        <v>470</v>
      </c>
    </row>
    <row r="49" spans="1:6" s="82" customFormat="1" ht="72">
      <c r="A49" s="79">
        <v>20</v>
      </c>
      <c r="B49" s="80">
        <v>5600</v>
      </c>
      <c r="C49" s="81" t="s">
        <v>189</v>
      </c>
      <c r="D49" s="90">
        <f>'พะเยา 5600'!E11</f>
        <v>405600</v>
      </c>
      <c r="E49" s="97"/>
      <c r="F49" s="88" t="s">
        <v>474</v>
      </c>
    </row>
    <row r="50" spans="1:6" s="82" customFormat="1">
      <c r="A50" s="79">
        <v>21</v>
      </c>
      <c r="B50" s="80">
        <v>5800</v>
      </c>
      <c r="C50" s="81" t="s">
        <v>25</v>
      </c>
      <c r="D50" s="90">
        <f>'แม่ฮ่องสอน 5800'!E21</f>
        <v>3142400</v>
      </c>
      <c r="E50" s="97"/>
      <c r="F50" s="83" t="s">
        <v>471</v>
      </c>
    </row>
    <row r="51" spans="1:6" s="82" customFormat="1">
      <c r="A51" s="79">
        <v>22</v>
      </c>
      <c r="B51" s="80">
        <v>6000</v>
      </c>
      <c r="C51" s="81" t="s">
        <v>134</v>
      </c>
      <c r="D51" s="90">
        <f>'นครสวรรค์ 6000'!E10</f>
        <v>496000</v>
      </c>
      <c r="E51" s="97"/>
      <c r="F51" s="83" t="s">
        <v>472</v>
      </c>
    </row>
    <row r="52" spans="1:6" s="82" customFormat="1" ht="264">
      <c r="A52" s="79">
        <v>23</v>
      </c>
      <c r="B52" s="80">
        <v>6100</v>
      </c>
      <c r="C52" s="81" t="s">
        <v>61</v>
      </c>
      <c r="D52" s="90">
        <f>'อุทัยธานี 6100'!E31</f>
        <v>1191300</v>
      </c>
      <c r="E52" s="97"/>
      <c r="F52" s="88" t="s">
        <v>473</v>
      </c>
    </row>
    <row r="53" spans="1:6" s="82" customFormat="1">
      <c r="A53" s="79">
        <v>24</v>
      </c>
      <c r="B53" s="80">
        <v>6200</v>
      </c>
      <c r="C53" s="81" t="s">
        <v>66</v>
      </c>
      <c r="D53" s="90">
        <f>'กำแพงเพชร 6200'!E13</f>
        <v>15528400</v>
      </c>
      <c r="E53" s="97"/>
      <c r="F53" s="83" t="s">
        <v>475</v>
      </c>
    </row>
    <row r="54" spans="1:6" s="82" customFormat="1">
      <c r="A54" s="79">
        <v>25</v>
      </c>
      <c r="B54" s="80">
        <v>6300</v>
      </c>
      <c r="C54" s="81" t="s">
        <v>460</v>
      </c>
      <c r="D54" s="90">
        <f>'ตาก 6300'!E10</f>
        <v>987300</v>
      </c>
      <c r="E54" s="86" t="s">
        <v>465</v>
      </c>
      <c r="F54" s="83"/>
    </row>
    <row r="55" spans="1:6" s="82" customFormat="1">
      <c r="A55" s="79">
        <v>26</v>
      </c>
      <c r="B55" s="80">
        <v>6700</v>
      </c>
      <c r="C55" s="81" t="s">
        <v>141</v>
      </c>
      <c r="D55" s="90">
        <f>'เพชรบูรณ์ 6700'!E10</f>
        <v>4029900</v>
      </c>
      <c r="E55" s="86" t="s">
        <v>465</v>
      </c>
      <c r="F55" s="83"/>
    </row>
    <row r="56" spans="1:6" s="82" customFormat="1">
      <c r="A56" s="79">
        <v>27</v>
      </c>
      <c r="B56" s="80">
        <v>7100</v>
      </c>
      <c r="C56" s="81" t="s">
        <v>269</v>
      </c>
      <c r="D56" s="90">
        <f>'กาญจนบุรี 7100'!E10</f>
        <v>425100</v>
      </c>
      <c r="E56" s="97"/>
      <c r="F56" s="83" t="s">
        <v>476</v>
      </c>
    </row>
    <row r="57" spans="1:6" s="82" customFormat="1">
      <c r="A57" s="79">
        <v>28</v>
      </c>
      <c r="B57" s="80">
        <v>7300</v>
      </c>
      <c r="C57" s="81" t="s">
        <v>71</v>
      </c>
      <c r="D57" s="90">
        <f>'นครปฐม 7300'!E21</f>
        <v>3918700</v>
      </c>
      <c r="E57" s="86" t="s">
        <v>465</v>
      </c>
      <c r="F57" s="83"/>
    </row>
    <row r="58" spans="1:6" s="82" customFormat="1">
      <c r="A58" s="79">
        <v>29</v>
      </c>
      <c r="B58" s="80">
        <v>7500</v>
      </c>
      <c r="C58" s="81" t="s">
        <v>163</v>
      </c>
      <c r="D58" s="90">
        <f>'สมุทรสงคราม 7500'!E12</f>
        <v>1431000</v>
      </c>
      <c r="E58" s="86" t="s">
        <v>465</v>
      </c>
      <c r="F58" s="83"/>
    </row>
    <row r="59" spans="1:6" s="82" customFormat="1" ht="144">
      <c r="A59" s="79">
        <v>30</v>
      </c>
      <c r="B59" s="80">
        <v>7700</v>
      </c>
      <c r="C59" s="81" t="s">
        <v>144</v>
      </c>
      <c r="D59" s="90">
        <f>'ประจวบคีรีขันธ์ 7700'!E20</f>
        <v>4170100</v>
      </c>
      <c r="E59" s="97"/>
      <c r="F59" s="88" t="s">
        <v>477</v>
      </c>
    </row>
    <row r="60" spans="1:6" s="82" customFormat="1">
      <c r="A60" s="79">
        <v>31</v>
      </c>
      <c r="B60" s="80">
        <v>8000</v>
      </c>
      <c r="C60" s="81" t="s">
        <v>16</v>
      </c>
      <c r="D60" s="90">
        <f>'นครศรีธรรมราช 8000'!E12</f>
        <v>367500</v>
      </c>
      <c r="E60" s="86" t="s">
        <v>465</v>
      </c>
      <c r="F60" s="83"/>
    </row>
    <row r="61" spans="1:6" s="82" customFormat="1">
      <c r="A61" s="79">
        <v>32</v>
      </c>
      <c r="B61" s="80">
        <v>8100</v>
      </c>
      <c r="C61" s="81" t="s">
        <v>193</v>
      </c>
      <c r="D61" s="90">
        <f>'กระบี่ 8100'!E10</f>
        <v>350000</v>
      </c>
      <c r="E61" s="97"/>
      <c r="F61" s="83" t="s">
        <v>478</v>
      </c>
    </row>
    <row r="62" spans="1:6" s="82" customFormat="1">
      <c r="A62" s="79">
        <v>33</v>
      </c>
      <c r="B62" s="80">
        <v>8500</v>
      </c>
      <c r="C62" s="81" t="s">
        <v>106</v>
      </c>
      <c r="D62" s="90">
        <f>'ระนอง 8500'!E12</f>
        <v>1660000</v>
      </c>
      <c r="E62" s="86" t="s">
        <v>465</v>
      </c>
      <c r="F62" s="83"/>
    </row>
    <row r="63" spans="1:6" s="82" customFormat="1" ht="120">
      <c r="A63" s="79">
        <v>34</v>
      </c>
      <c r="B63" s="80">
        <v>9000</v>
      </c>
      <c r="C63" s="81" t="s">
        <v>34</v>
      </c>
      <c r="D63" s="90">
        <f>'สงขลา 9000'!E14</f>
        <v>182800</v>
      </c>
      <c r="E63" s="97"/>
      <c r="F63" s="88" t="s">
        <v>479</v>
      </c>
    </row>
    <row r="64" spans="1:6" s="82" customFormat="1">
      <c r="A64" s="79">
        <v>35</v>
      </c>
      <c r="B64" s="80">
        <v>9200</v>
      </c>
      <c r="C64" s="81" t="s">
        <v>175</v>
      </c>
      <c r="D64" s="90">
        <f>'ตรัง 9200'!E10</f>
        <v>136500</v>
      </c>
      <c r="E64" s="97"/>
      <c r="F64" s="83" t="s">
        <v>480</v>
      </c>
    </row>
    <row r="65" spans="1:6" s="82" customFormat="1" ht="72">
      <c r="A65" s="79">
        <v>36</v>
      </c>
      <c r="B65" s="80">
        <v>9300</v>
      </c>
      <c r="C65" s="81" t="s">
        <v>104</v>
      </c>
      <c r="D65" s="90">
        <f>'พัทลุง 9300'!E12</f>
        <v>53800</v>
      </c>
      <c r="E65" s="97"/>
      <c r="F65" s="88" t="s">
        <v>481</v>
      </c>
    </row>
    <row r="66" spans="1:6" s="82" customFormat="1">
      <c r="A66" s="79">
        <v>37</v>
      </c>
      <c r="B66" s="80">
        <v>9400</v>
      </c>
      <c r="C66" s="81" t="s">
        <v>63</v>
      </c>
      <c r="D66" s="90">
        <f>'ปัตตานี 9400'!E17</f>
        <v>2368400</v>
      </c>
      <c r="E66" s="86" t="s">
        <v>465</v>
      </c>
      <c r="F66" s="83"/>
    </row>
    <row r="67" spans="1:6" s="82" customFormat="1">
      <c r="A67" s="79">
        <v>38</v>
      </c>
      <c r="B67" s="80">
        <v>9500</v>
      </c>
      <c r="C67" s="81" t="s">
        <v>29</v>
      </c>
      <c r="D67" s="90">
        <f>'ยะลา 9500'!E11</f>
        <v>4964600</v>
      </c>
      <c r="E67" s="86" t="s">
        <v>465</v>
      </c>
      <c r="F67" s="83"/>
    </row>
  </sheetData>
  <mergeCells count="7">
    <mergeCell ref="E4:F4"/>
    <mergeCell ref="A6:B6"/>
    <mergeCell ref="A29:B29"/>
    <mergeCell ref="A4:B4"/>
    <mergeCell ref="A5:C5"/>
    <mergeCell ref="A1:F1"/>
    <mergeCell ref="A2:F2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topLeftCell="A2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282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3">
      <c r="A8" s="26"/>
      <c r="B8" s="31" t="s">
        <v>109</v>
      </c>
      <c r="C8" s="27"/>
      <c r="D8" s="28"/>
      <c r="E8" s="29"/>
      <c r="F8" s="29"/>
      <c r="G8" s="29"/>
      <c r="H8" s="29"/>
      <c r="I8" s="29"/>
      <c r="J8" s="30"/>
    </row>
    <row r="9" spans="1:13">
      <c r="A9" s="7">
        <v>1</v>
      </c>
      <c r="B9" s="8" t="s">
        <v>283</v>
      </c>
      <c r="C9" s="16" t="s">
        <v>284</v>
      </c>
      <c r="D9" s="9">
        <v>23</v>
      </c>
      <c r="E9" s="10">
        <f>3500*23</f>
        <v>80500</v>
      </c>
      <c r="F9" s="53" t="s">
        <v>322</v>
      </c>
      <c r="G9" s="10"/>
      <c r="H9" s="10"/>
      <c r="I9" s="10"/>
      <c r="J9" s="11"/>
    </row>
    <row r="10" spans="1:13">
      <c r="A10" s="7"/>
      <c r="B10" s="8"/>
      <c r="C10" s="16"/>
      <c r="D10" s="9"/>
      <c r="E10" s="10"/>
      <c r="F10" s="10"/>
      <c r="G10" s="10"/>
      <c r="H10" s="10"/>
      <c r="I10" s="10"/>
      <c r="J10" s="11"/>
    </row>
    <row r="11" spans="1:13">
      <c r="A11" s="113" t="s">
        <v>8</v>
      </c>
      <c r="B11" s="114"/>
      <c r="C11" s="114"/>
      <c r="D11" s="115"/>
      <c r="E11" s="12">
        <f>SUM(E8:E10)</f>
        <v>80500</v>
      </c>
      <c r="F11" s="12"/>
      <c r="G11" s="12"/>
      <c r="H11" s="12"/>
      <c r="I11" s="12"/>
      <c r="J11" s="13"/>
    </row>
    <row r="12" spans="1:13">
      <c r="D12" s="2" t="s">
        <v>9</v>
      </c>
      <c r="M12" s="1" t="s">
        <v>9</v>
      </c>
    </row>
    <row r="13" spans="1:13">
      <c r="L13" s="1" t="s">
        <v>9</v>
      </c>
    </row>
  </sheetData>
  <mergeCells count="11">
    <mergeCell ref="A11:D11"/>
    <mergeCell ref="A2:J2"/>
    <mergeCell ref="A3:J3"/>
    <mergeCell ref="A4:J4"/>
    <mergeCell ref="A6:A7"/>
    <mergeCell ref="B6:B7"/>
    <mergeCell ref="C6:C7"/>
    <mergeCell ref="D6:D7"/>
    <mergeCell ref="E6:E7"/>
    <mergeCell ref="F6:I6"/>
    <mergeCell ref="J6:J7"/>
  </mergeCells>
  <pageMargins left="0.25" right="0.25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6"/>
  <sheetViews>
    <sheetView topLeftCell="A7" zoomScaleNormal="100" workbookViewId="0">
      <selection activeCell="B13" sqref="B13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8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279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B5" s="3" t="s">
        <v>9</v>
      </c>
      <c r="J5" s="2" t="s">
        <v>2</v>
      </c>
    </row>
    <row r="6" spans="1:14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4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4" s="35" customFormat="1">
      <c r="A8" s="5"/>
      <c r="B8" s="31" t="s">
        <v>109</v>
      </c>
      <c r="C8" s="38"/>
      <c r="D8" s="39"/>
      <c r="E8" s="40">
        <f>SUM(E9:E11)</f>
        <v>375100</v>
      </c>
      <c r="F8" s="40"/>
      <c r="G8" s="40"/>
      <c r="H8" s="40"/>
      <c r="I8" s="40"/>
      <c r="J8" s="20"/>
    </row>
    <row r="9" spans="1:14" ht="72">
      <c r="A9" s="7">
        <v>1</v>
      </c>
      <c r="B9" s="8" t="s">
        <v>151</v>
      </c>
      <c r="C9" s="16" t="s">
        <v>154</v>
      </c>
      <c r="D9" s="9">
        <v>1</v>
      </c>
      <c r="E9" s="10">
        <f>32200*1</f>
        <v>32200</v>
      </c>
      <c r="F9" s="45" t="s">
        <v>290</v>
      </c>
      <c r="G9" s="47" t="s">
        <v>400</v>
      </c>
      <c r="H9" s="10"/>
      <c r="I9" s="10"/>
      <c r="J9" s="11"/>
      <c r="L9" s="1" t="s">
        <v>9</v>
      </c>
    </row>
    <row r="10" spans="1:14" ht="72">
      <c r="A10" s="7">
        <v>2</v>
      </c>
      <c r="B10" s="8" t="s">
        <v>171</v>
      </c>
      <c r="C10" s="16" t="s">
        <v>176</v>
      </c>
      <c r="D10" s="9">
        <v>6</v>
      </c>
      <c r="E10" s="10">
        <f>45500*6</f>
        <v>273000</v>
      </c>
      <c r="F10" s="45" t="s">
        <v>290</v>
      </c>
      <c r="G10" s="47" t="s">
        <v>400</v>
      </c>
      <c r="H10" s="10"/>
      <c r="I10" s="10"/>
      <c r="J10" s="11"/>
      <c r="L10" s="1" t="s">
        <v>9</v>
      </c>
    </row>
    <row r="11" spans="1:14" ht="48">
      <c r="A11" s="7">
        <v>3</v>
      </c>
      <c r="B11" s="8" t="s">
        <v>124</v>
      </c>
      <c r="C11" s="16" t="s">
        <v>209</v>
      </c>
      <c r="D11" s="9">
        <v>1</v>
      </c>
      <c r="E11" s="10">
        <f>69900*1</f>
        <v>69900</v>
      </c>
      <c r="F11" s="10"/>
      <c r="G11" s="58" t="s">
        <v>9</v>
      </c>
      <c r="H11" s="10"/>
      <c r="I11" s="10"/>
      <c r="J11" s="11"/>
    </row>
    <row r="12" spans="1:14" s="35" customFormat="1">
      <c r="A12" s="5"/>
      <c r="B12" s="31" t="s">
        <v>256</v>
      </c>
      <c r="C12" s="38"/>
      <c r="D12" s="39"/>
      <c r="E12" s="40">
        <f>E13</f>
        <v>444000</v>
      </c>
      <c r="F12" s="40"/>
      <c r="G12" s="40"/>
      <c r="H12" s="40"/>
      <c r="I12" s="40"/>
      <c r="J12" s="20"/>
    </row>
    <row r="13" spans="1:14" ht="48">
      <c r="A13" s="7">
        <v>4</v>
      </c>
      <c r="B13" s="8" t="s">
        <v>272</v>
      </c>
      <c r="C13" s="16" t="s">
        <v>273</v>
      </c>
      <c r="D13" s="9">
        <v>1</v>
      </c>
      <c r="E13" s="10">
        <v>444000</v>
      </c>
      <c r="F13" s="10" t="s">
        <v>401</v>
      </c>
      <c r="G13" s="58"/>
      <c r="H13" s="10"/>
      <c r="I13" s="10"/>
      <c r="J13" s="11"/>
    </row>
    <row r="14" spans="1:14">
      <c r="A14" s="113" t="s">
        <v>8</v>
      </c>
      <c r="B14" s="114"/>
      <c r="C14" s="114"/>
      <c r="D14" s="115"/>
      <c r="E14" s="12">
        <f>SUM(E8:E13)</f>
        <v>1638200</v>
      </c>
      <c r="F14" s="12"/>
      <c r="G14" s="12"/>
      <c r="H14" s="12"/>
      <c r="I14" s="12"/>
      <c r="J14" s="13"/>
    </row>
    <row r="15" spans="1:14">
      <c r="D15" s="2" t="s">
        <v>9</v>
      </c>
      <c r="M15" s="1" t="s">
        <v>9</v>
      </c>
    </row>
    <row r="16" spans="1:14">
      <c r="L16" s="1" t="s">
        <v>9</v>
      </c>
      <c r="N16" s="1" t="s">
        <v>9</v>
      </c>
    </row>
  </sheetData>
  <mergeCells count="11">
    <mergeCell ref="A2:J2"/>
    <mergeCell ref="A3:J3"/>
    <mergeCell ref="A4:J4"/>
    <mergeCell ref="F6:I6"/>
    <mergeCell ref="A14:D14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topLeftCell="A2" zoomScaleNormal="100" workbookViewId="0">
      <selection activeCell="G9" sqref="G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8.28515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237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228</v>
      </c>
      <c r="C8" s="17"/>
      <c r="D8" s="5"/>
      <c r="E8" s="6">
        <f>SUM(E9)</f>
        <v>50000</v>
      </c>
      <c r="F8" s="6"/>
      <c r="G8" s="6"/>
      <c r="H8" s="6"/>
      <c r="I8" s="6"/>
      <c r="J8" s="5"/>
    </row>
    <row r="9" spans="1:13" ht="72">
      <c r="A9" s="7">
        <v>1</v>
      </c>
      <c r="B9" s="8" t="s">
        <v>238</v>
      </c>
      <c r="C9" s="16" t="s">
        <v>239</v>
      </c>
      <c r="D9" s="9">
        <v>1</v>
      </c>
      <c r="E9" s="10">
        <v>50000</v>
      </c>
      <c r="F9" s="45"/>
      <c r="G9" s="47" t="s">
        <v>402</v>
      </c>
      <c r="H9" s="10"/>
      <c r="I9" s="10"/>
      <c r="J9" s="11"/>
      <c r="K9" s="1" t="s">
        <v>9</v>
      </c>
    </row>
    <row r="10" spans="1:13">
      <c r="A10" s="26"/>
      <c r="B10" s="31" t="s">
        <v>261</v>
      </c>
      <c r="C10" s="27"/>
      <c r="D10" s="28"/>
      <c r="E10" s="40">
        <f>SUM(E11)</f>
        <v>420300</v>
      </c>
      <c r="F10" s="29"/>
      <c r="G10" s="29"/>
      <c r="H10" s="29"/>
      <c r="I10" s="29"/>
      <c r="J10" s="30"/>
      <c r="L10" s="1" t="s">
        <v>9</v>
      </c>
    </row>
    <row r="11" spans="1:13" ht="48">
      <c r="A11" s="7">
        <v>2</v>
      </c>
      <c r="B11" s="8" t="s">
        <v>403</v>
      </c>
      <c r="C11" s="16" t="s">
        <v>239</v>
      </c>
      <c r="D11" s="9">
        <v>1</v>
      </c>
      <c r="E11" s="10">
        <v>420300</v>
      </c>
      <c r="F11" s="45" t="s">
        <v>290</v>
      </c>
      <c r="G11" s="10" t="s">
        <v>323</v>
      </c>
      <c r="H11" s="10"/>
      <c r="I11" s="10"/>
      <c r="J11" s="11"/>
    </row>
    <row r="12" spans="1:13">
      <c r="A12" s="113" t="s">
        <v>8</v>
      </c>
      <c r="B12" s="114"/>
      <c r="C12" s="114"/>
      <c r="D12" s="115"/>
      <c r="E12" s="12">
        <f>E8+E10</f>
        <v>470300</v>
      </c>
      <c r="F12" s="12"/>
      <c r="G12" s="12"/>
      <c r="H12" s="12"/>
      <c r="I12" s="12"/>
      <c r="J12" s="13"/>
    </row>
    <row r="13" spans="1:13">
      <c r="D13" s="2" t="s">
        <v>9</v>
      </c>
      <c r="M13" s="1" t="s">
        <v>9</v>
      </c>
    </row>
    <row r="14" spans="1:13">
      <c r="L14" s="1" t="s">
        <v>9</v>
      </c>
    </row>
  </sheetData>
  <mergeCells count="11">
    <mergeCell ref="J6:J7"/>
    <mergeCell ref="A2:J2"/>
    <mergeCell ref="A3:J3"/>
    <mergeCell ref="A4:J4"/>
    <mergeCell ref="F6:I6"/>
    <mergeCell ref="E6:E7"/>
    <mergeCell ref="A12:D12"/>
    <mergeCell ref="A6:A7"/>
    <mergeCell ref="B6:B7"/>
    <mergeCell ref="C6:C7"/>
    <mergeCell ref="D6:D7"/>
  </mergeCells>
  <pageMargins left="0.25" right="0.25" top="0.75" bottom="0.75" header="0.3" footer="0.3"/>
  <pageSetup paperSize="9" scale="61" orientation="portrait" r:id="rId1"/>
  <colBreaks count="1" manualBreakCount="1">
    <brk id="10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2"/>
  <sheetViews>
    <sheetView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7.28515625" style="4" customWidth="1"/>
    <col min="8" max="8" width="11.42578125" style="4" customWidth="1"/>
    <col min="9" max="9" width="12" style="4" customWidth="1"/>
    <col min="10" max="10" width="11.710937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240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228</v>
      </c>
      <c r="C8" s="17"/>
      <c r="D8" s="5"/>
      <c r="E8" s="6">
        <f>SUM(E9)</f>
        <v>51400</v>
      </c>
      <c r="F8" s="6"/>
      <c r="G8" s="6"/>
      <c r="H8" s="6"/>
      <c r="I8" s="6"/>
      <c r="J8" s="5"/>
    </row>
    <row r="9" spans="1:13" ht="72">
      <c r="A9" s="7">
        <v>1</v>
      </c>
      <c r="B9" s="8" t="s">
        <v>242</v>
      </c>
      <c r="C9" s="16" t="s">
        <v>241</v>
      </c>
      <c r="D9" s="9">
        <v>1</v>
      </c>
      <c r="E9" s="10">
        <f>51400*1</f>
        <v>51400</v>
      </c>
      <c r="F9" s="45" t="s">
        <v>290</v>
      </c>
      <c r="G9" s="47" t="s">
        <v>402</v>
      </c>
      <c r="H9" s="10"/>
      <c r="I9" s="10"/>
      <c r="J9" s="11"/>
    </row>
    <row r="10" spans="1:13">
      <c r="A10" s="113" t="s">
        <v>8</v>
      </c>
      <c r="B10" s="114"/>
      <c r="C10" s="114"/>
      <c r="D10" s="115"/>
      <c r="E10" s="12">
        <f>SUM(E9:E9)</f>
        <v>51400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G12" s="4" t="s">
        <v>9</v>
      </c>
      <c r="I12" s="4" t="s">
        <v>9</v>
      </c>
      <c r="L12" s="1" t="s">
        <v>9</v>
      </c>
    </row>
  </sheetData>
  <mergeCells count="11">
    <mergeCell ref="J6:J7"/>
    <mergeCell ref="A2:J2"/>
    <mergeCell ref="A3:J3"/>
    <mergeCell ref="A4:J4"/>
    <mergeCell ref="F6:I6"/>
    <mergeCell ref="E6:E7"/>
    <mergeCell ref="A10:D10"/>
    <mergeCell ref="A6:A7"/>
    <mergeCell ref="B6:B7"/>
    <mergeCell ref="C6:C7"/>
    <mergeCell ref="D6:D7"/>
  </mergeCells>
  <pageMargins left="0.25" right="0.25" top="0.75" bottom="0.75" header="0.3" footer="0.3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1"/>
  <sheetViews>
    <sheetView topLeftCell="A13" zoomScaleNormal="100" workbookViewId="0">
      <selection activeCell="B18" sqref="B18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1.28515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206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2">
      <c r="A8" s="5"/>
      <c r="B8" s="20" t="s">
        <v>109</v>
      </c>
      <c r="C8" s="17"/>
      <c r="D8" s="5"/>
      <c r="E8" s="6">
        <f>SUM(E9:E13)</f>
        <v>237200</v>
      </c>
      <c r="F8" s="6"/>
      <c r="G8" s="6"/>
      <c r="H8" s="6"/>
      <c r="I8" s="6"/>
      <c r="J8" s="5"/>
    </row>
    <row r="9" spans="1:12" ht="72">
      <c r="A9" s="7">
        <v>1</v>
      </c>
      <c r="B9" s="8" t="s">
        <v>404</v>
      </c>
      <c r="C9" s="16" t="s">
        <v>211</v>
      </c>
      <c r="D9" s="9">
        <v>3</v>
      </c>
      <c r="E9" s="10">
        <f>33500*3</f>
        <v>100500</v>
      </c>
      <c r="F9" s="45" t="s">
        <v>290</v>
      </c>
      <c r="G9" s="47" t="s">
        <v>405</v>
      </c>
      <c r="H9" s="10"/>
      <c r="I9" s="10"/>
      <c r="J9" s="11"/>
      <c r="L9" s="1" t="s">
        <v>9</v>
      </c>
    </row>
    <row r="10" spans="1:12" ht="48">
      <c r="A10" s="7">
        <v>2</v>
      </c>
      <c r="B10" s="8" t="s">
        <v>210</v>
      </c>
      <c r="C10" s="16" t="s">
        <v>211</v>
      </c>
      <c r="D10" s="9">
        <v>2</v>
      </c>
      <c r="E10" s="10">
        <v>22500</v>
      </c>
      <c r="F10" s="10"/>
      <c r="G10" s="58"/>
      <c r="H10" s="10"/>
      <c r="I10" s="10"/>
      <c r="J10" s="11"/>
    </row>
    <row r="11" spans="1:12" ht="48">
      <c r="A11" s="7">
        <v>3</v>
      </c>
      <c r="B11" s="8" t="s">
        <v>212</v>
      </c>
      <c r="C11" s="16" t="s">
        <v>211</v>
      </c>
      <c r="D11" s="9">
        <v>1</v>
      </c>
      <c r="E11" s="10">
        <v>52800</v>
      </c>
      <c r="F11" s="10"/>
      <c r="G11" s="58"/>
      <c r="H11" s="10"/>
      <c r="I11" s="10"/>
      <c r="J11" s="11"/>
    </row>
    <row r="12" spans="1:12" ht="48">
      <c r="A12" s="7">
        <v>4</v>
      </c>
      <c r="B12" s="8" t="s">
        <v>213</v>
      </c>
      <c r="C12" s="16" t="s">
        <v>211</v>
      </c>
      <c r="D12" s="9">
        <v>7</v>
      </c>
      <c r="E12" s="10">
        <v>16400</v>
      </c>
      <c r="F12" s="10"/>
      <c r="G12" s="58"/>
      <c r="H12" s="10"/>
      <c r="I12" s="10"/>
      <c r="J12" s="11"/>
    </row>
    <row r="13" spans="1:12" ht="48">
      <c r="A13" s="7">
        <v>5</v>
      </c>
      <c r="B13" s="8" t="s">
        <v>214</v>
      </c>
      <c r="C13" s="16" t="s">
        <v>211</v>
      </c>
      <c r="D13" s="9">
        <v>1</v>
      </c>
      <c r="E13" s="10">
        <v>45000</v>
      </c>
      <c r="F13" s="10"/>
      <c r="G13" s="58"/>
      <c r="H13" s="10"/>
      <c r="I13" s="10"/>
      <c r="J13" s="11"/>
    </row>
    <row r="14" spans="1:12">
      <c r="A14" s="26"/>
      <c r="B14" s="20" t="s">
        <v>228</v>
      </c>
      <c r="C14" s="27"/>
      <c r="D14" s="28"/>
      <c r="E14" s="40">
        <f>SUM(E15)</f>
        <v>50000</v>
      </c>
      <c r="F14" s="29"/>
      <c r="G14" s="29"/>
      <c r="H14" s="29"/>
      <c r="I14" s="29"/>
      <c r="J14" s="30"/>
    </row>
    <row r="15" spans="1:12" ht="72">
      <c r="A15" s="7">
        <v>6</v>
      </c>
      <c r="B15" s="8" t="s">
        <v>238</v>
      </c>
      <c r="C15" s="16" t="s">
        <v>211</v>
      </c>
      <c r="D15" s="9">
        <v>1</v>
      </c>
      <c r="E15" s="10">
        <f>50000*1</f>
        <v>50000</v>
      </c>
      <c r="F15" s="45" t="s">
        <v>290</v>
      </c>
      <c r="G15" s="47" t="s">
        <v>408</v>
      </c>
      <c r="H15" s="10"/>
      <c r="I15" s="10"/>
      <c r="J15" s="11"/>
    </row>
    <row r="16" spans="1:12">
      <c r="A16" s="26"/>
      <c r="B16" s="20" t="s">
        <v>256</v>
      </c>
      <c r="C16" s="27"/>
      <c r="D16" s="28"/>
      <c r="E16" s="40">
        <f>SUM(E17:E18)</f>
        <v>527700</v>
      </c>
      <c r="F16" s="66"/>
      <c r="G16" s="29"/>
      <c r="H16" s="29"/>
      <c r="I16" s="29"/>
      <c r="J16" s="30"/>
    </row>
    <row r="17" spans="1:13" ht="96">
      <c r="A17" s="7">
        <v>7</v>
      </c>
      <c r="B17" s="8" t="s">
        <v>407</v>
      </c>
      <c r="C17" s="16" t="s">
        <v>211</v>
      </c>
      <c r="D17" s="9">
        <v>8</v>
      </c>
      <c r="E17" s="10">
        <f>59000*8</f>
        <v>472000</v>
      </c>
      <c r="F17" s="45" t="s">
        <v>290</v>
      </c>
      <c r="G17" s="47" t="s">
        <v>406</v>
      </c>
      <c r="H17" s="10"/>
      <c r="I17" s="10"/>
      <c r="J17" s="11"/>
      <c r="K17" s="1" t="s">
        <v>9</v>
      </c>
    </row>
    <row r="18" spans="1:13" ht="48">
      <c r="A18" s="7">
        <v>8</v>
      </c>
      <c r="B18" s="8" t="s">
        <v>274</v>
      </c>
      <c r="C18" s="16" t="s">
        <v>211</v>
      </c>
      <c r="D18" s="9">
        <v>1</v>
      </c>
      <c r="E18" s="10">
        <v>55700</v>
      </c>
      <c r="F18" s="45" t="s">
        <v>290</v>
      </c>
      <c r="G18" s="58"/>
      <c r="H18" s="10"/>
      <c r="I18" s="10"/>
      <c r="J18" s="11"/>
    </row>
    <row r="19" spans="1:13">
      <c r="A19" s="113" t="s">
        <v>8</v>
      </c>
      <c r="B19" s="114"/>
      <c r="C19" s="114"/>
      <c r="D19" s="115"/>
      <c r="E19" s="12">
        <f>E8+E14+E16</f>
        <v>814900</v>
      </c>
      <c r="F19" s="12"/>
      <c r="G19" s="12"/>
      <c r="H19" s="12"/>
      <c r="I19" s="12"/>
      <c r="J19" s="13"/>
    </row>
    <row r="20" spans="1:13">
      <c r="D20" s="2" t="s">
        <v>9</v>
      </c>
      <c r="M20" s="1" t="s">
        <v>9</v>
      </c>
    </row>
    <row r="21" spans="1:13">
      <c r="L21" s="1" t="s">
        <v>9</v>
      </c>
    </row>
  </sheetData>
  <mergeCells count="11">
    <mergeCell ref="A2:J2"/>
    <mergeCell ref="A3:J3"/>
    <mergeCell ref="A4:J4"/>
    <mergeCell ref="F6:I6"/>
    <mergeCell ref="A19:D19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7"/>
  <sheetViews>
    <sheetView topLeftCell="A10" zoomScaleNormal="100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8.5703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135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SUM(E9:E12)</f>
        <v>255700</v>
      </c>
      <c r="F8" s="6"/>
      <c r="G8" s="6"/>
      <c r="H8" s="6"/>
      <c r="I8" s="6"/>
      <c r="J8" s="5"/>
    </row>
    <row r="9" spans="1:13" ht="72">
      <c r="A9" s="7">
        <v>1</v>
      </c>
      <c r="B9" s="8" t="s">
        <v>132</v>
      </c>
      <c r="C9" s="16" t="s">
        <v>136</v>
      </c>
      <c r="D9" s="9">
        <v>2</v>
      </c>
      <c r="E9" s="10">
        <f>16800*2</f>
        <v>33600</v>
      </c>
      <c r="F9" s="45" t="s">
        <v>290</v>
      </c>
      <c r="G9" s="47" t="s">
        <v>409</v>
      </c>
      <c r="H9" s="10"/>
      <c r="I9" s="10"/>
      <c r="J9" s="11"/>
    </row>
    <row r="10" spans="1:13" ht="72">
      <c r="A10" s="7">
        <v>2</v>
      </c>
      <c r="B10" s="8" t="s">
        <v>147</v>
      </c>
      <c r="C10" s="16" t="s">
        <v>136</v>
      </c>
      <c r="D10" s="9">
        <v>1</v>
      </c>
      <c r="E10" s="10">
        <f>27200*1</f>
        <v>27200</v>
      </c>
      <c r="F10" s="45" t="s">
        <v>290</v>
      </c>
      <c r="G10" s="47" t="s">
        <v>400</v>
      </c>
      <c r="H10" s="10"/>
      <c r="I10" s="10"/>
      <c r="J10" s="11"/>
      <c r="L10" s="1" t="s">
        <v>9</v>
      </c>
    </row>
    <row r="11" spans="1:13" ht="72">
      <c r="A11" s="7">
        <v>3</v>
      </c>
      <c r="B11" s="8" t="s">
        <v>169</v>
      </c>
      <c r="C11" s="16" t="s">
        <v>136</v>
      </c>
      <c r="D11" s="9">
        <v>2</v>
      </c>
      <c r="E11" s="10">
        <f>43000*2</f>
        <v>86000</v>
      </c>
      <c r="F11" s="45" t="s">
        <v>290</v>
      </c>
      <c r="G11" s="47" t="s">
        <v>400</v>
      </c>
      <c r="H11" s="10"/>
      <c r="I11" s="10"/>
      <c r="J11" s="11"/>
    </row>
    <row r="12" spans="1:13" ht="72">
      <c r="A12" s="7">
        <v>4</v>
      </c>
      <c r="B12" s="8" t="s">
        <v>410</v>
      </c>
      <c r="C12" s="16" t="s">
        <v>136</v>
      </c>
      <c r="D12" s="9">
        <v>3</v>
      </c>
      <c r="E12" s="10">
        <f>36300*3</f>
        <v>108900</v>
      </c>
      <c r="F12" s="45" t="s">
        <v>290</v>
      </c>
      <c r="G12" s="47" t="s">
        <v>400</v>
      </c>
      <c r="H12" s="10"/>
      <c r="I12" s="10"/>
      <c r="J12" s="11"/>
    </row>
    <row r="13" spans="1:13">
      <c r="A13" s="26"/>
      <c r="B13" s="20" t="s">
        <v>228</v>
      </c>
      <c r="C13" s="27"/>
      <c r="D13" s="28"/>
      <c r="E13" s="29">
        <f>SUM(E14)</f>
        <v>50000</v>
      </c>
      <c r="F13" s="29"/>
      <c r="G13" s="29"/>
      <c r="H13" s="29"/>
      <c r="I13" s="29"/>
      <c r="J13" s="30"/>
    </row>
    <row r="14" spans="1:13" ht="72">
      <c r="A14" s="7">
        <v>5</v>
      </c>
      <c r="B14" s="8" t="s">
        <v>238</v>
      </c>
      <c r="C14" s="16" t="s">
        <v>136</v>
      </c>
      <c r="D14" s="9">
        <v>1</v>
      </c>
      <c r="E14" s="10">
        <f>50000*1</f>
        <v>50000</v>
      </c>
      <c r="F14" s="45" t="s">
        <v>290</v>
      </c>
      <c r="G14" s="47" t="s">
        <v>402</v>
      </c>
      <c r="H14" s="10"/>
      <c r="I14" s="10"/>
      <c r="J14" s="11"/>
    </row>
    <row r="15" spans="1:13">
      <c r="A15" s="113" t="s">
        <v>8</v>
      </c>
      <c r="B15" s="114"/>
      <c r="C15" s="114"/>
      <c r="D15" s="115"/>
      <c r="E15" s="12">
        <f>E8+E13</f>
        <v>305700</v>
      </c>
      <c r="F15" s="12"/>
      <c r="G15" s="12"/>
      <c r="H15" s="12"/>
      <c r="I15" s="12"/>
      <c r="J15" s="13"/>
    </row>
    <row r="16" spans="1:13">
      <c r="D16" s="2" t="s">
        <v>9</v>
      </c>
      <c r="F16" s="4" t="s">
        <v>9</v>
      </c>
      <c r="M16" s="1" t="s">
        <v>9</v>
      </c>
    </row>
    <row r="17" spans="12:12">
      <c r="L17" s="1" t="s">
        <v>9</v>
      </c>
    </row>
  </sheetData>
  <mergeCells count="11">
    <mergeCell ref="A2:J2"/>
    <mergeCell ref="A3:J3"/>
    <mergeCell ref="A4:J4"/>
    <mergeCell ref="F6:I6"/>
    <mergeCell ref="A15:D15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4"/>
  <sheetViews>
    <sheetView zoomScaleNormal="100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7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166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SUM(E9)</f>
        <v>41500</v>
      </c>
      <c r="F8" s="6"/>
      <c r="G8" s="6"/>
      <c r="H8" s="6"/>
      <c r="I8" s="6"/>
      <c r="J8" s="5"/>
    </row>
    <row r="9" spans="1:13" ht="72">
      <c r="A9" s="7">
        <v>1</v>
      </c>
      <c r="B9" s="8" t="s">
        <v>161</v>
      </c>
      <c r="C9" s="16" t="s">
        <v>167</v>
      </c>
      <c r="D9" s="9">
        <v>1</v>
      </c>
      <c r="E9" s="10">
        <f>41500*1</f>
        <v>41500</v>
      </c>
      <c r="F9" s="45" t="s">
        <v>290</v>
      </c>
      <c r="G9" s="47" t="s">
        <v>400</v>
      </c>
      <c r="H9" s="10"/>
      <c r="I9" s="10"/>
      <c r="J9" s="11"/>
    </row>
    <row r="10" spans="1:13">
      <c r="A10" s="113" t="s">
        <v>8</v>
      </c>
      <c r="B10" s="114"/>
      <c r="C10" s="114"/>
      <c r="D10" s="115"/>
      <c r="E10" s="12">
        <f>SUM(E9:E9)</f>
        <v>41500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L12" s="1" t="s">
        <v>9</v>
      </c>
    </row>
    <row r="14" spans="1:13">
      <c r="H14" s="4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6"/>
  <sheetViews>
    <sheetView topLeftCell="A4" zoomScaleNormal="100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8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138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SUM(E9)</f>
        <v>74700</v>
      </c>
      <c r="F8" s="6"/>
      <c r="G8" s="6"/>
      <c r="H8" s="6"/>
      <c r="I8" s="6"/>
      <c r="J8" s="5"/>
    </row>
    <row r="9" spans="1:13" ht="48">
      <c r="A9" s="7">
        <v>1</v>
      </c>
      <c r="B9" s="8" t="s">
        <v>137</v>
      </c>
      <c r="C9" s="16" t="s">
        <v>139</v>
      </c>
      <c r="D9" s="9">
        <v>3</v>
      </c>
      <c r="E9" s="10">
        <f>24900*3</f>
        <v>74700</v>
      </c>
      <c r="F9" s="45" t="s">
        <v>290</v>
      </c>
      <c r="G9" s="47" t="s">
        <v>409</v>
      </c>
      <c r="H9" s="10"/>
      <c r="I9" s="10"/>
      <c r="J9" s="11"/>
    </row>
    <row r="10" spans="1:13">
      <c r="A10" s="5"/>
      <c r="B10" s="20" t="s">
        <v>228</v>
      </c>
      <c r="C10" s="17"/>
      <c r="D10" s="5"/>
      <c r="E10" s="6">
        <f>SUM(E11)</f>
        <v>43500</v>
      </c>
      <c r="F10" s="6"/>
      <c r="G10" s="6"/>
      <c r="H10" s="6"/>
      <c r="I10" s="6"/>
      <c r="J10" s="5"/>
      <c r="L10" s="1" t="s">
        <v>9</v>
      </c>
    </row>
    <row r="11" spans="1:13" ht="48">
      <c r="A11" s="7">
        <v>2</v>
      </c>
      <c r="B11" s="8" t="s">
        <v>243</v>
      </c>
      <c r="C11" s="16" t="s">
        <v>139</v>
      </c>
      <c r="D11" s="9">
        <v>1</v>
      </c>
      <c r="E11" s="10">
        <f>43500*1</f>
        <v>43500</v>
      </c>
      <c r="F11" s="45" t="s">
        <v>290</v>
      </c>
      <c r="G11" s="47" t="s">
        <v>402</v>
      </c>
      <c r="H11" s="10"/>
      <c r="I11" s="10"/>
      <c r="J11" s="11"/>
    </row>
    <row r="12" spans="1:13">
      <c r="A12" s="5"/>
      <c r="B12" s="20" t="s">
        <v>256</v>
      </c>
      <c r="C12" s="17"/>
      <c r="D12" s="5"/>
      <c r="E12" s="6">
        <f>SUM(E13)</f>
        <v>162300</v>
      </c>
      <c r="F12" s="6"/>
      <c r="G12" s="6"/>
      <c r="H12" s="6"/>
      <c r="I12" s="6"/>
      <c r="J12" s="5"/>
    </row>
    <row r="13" spans="1:13" ht="168">
      <c r="A13" s="7">
        <v>3</v>
      </c>
      <c r="B13" s="8" t="s">
        <v>412</v>
      </c>
      <c r="C13" s="16" t="s">
        <v>139</v>
      </c>
      <c r="D13" s="9">
        <v>1</v>
      </c>
      <c r="E13" s="10">
        <f>132000+22000+8300</f>
        <v>162300</v>
      </c>
      <c r="F13" s="45" t="s">
        <v>290</v>
      </c>
      <c r="G13" s="47" t="s">
        <v>411</v>
      </c>
      <c r="H13" s="10"/>
      <c r="I13" s="10"/>
      <c r="J13" s="11"/>
      <c r="L13" s="1" t="s">
        <v>9</v>
      </c>
    </row>
    <row r="14" spans="1:13">
      <c r="A14" s="113" t="s">
        <v>8</v>
      </c>
      <c r="B14" s="114"/>
      <c r="C14" s="114"/>
      <c r="D14" s="115"/>
      <c r="E14" s="12">
        <f>E8+E10+E12</f>
        <v>280500</v>
      </c>
      <c r="F14" s="12"/>
      <c r="G14" s="12"/>
      <c r="H14" s="12"/>
      <c r="I14" s="12"/>
      <c r="J14" s="13"/>
    </row>
    <row r="15" spans="1:13">
      <c r="D15" s="2" t="s">
        <v>9</v>
      </c>
      <c r="M15" s="1" t="s">
        <v>9</v>
      </c>
    </row>
    <row r="16" spans="1:13">
      <c r="L16" s="1" t="s">
        <v>9</v>
      </c>
    </row>
  </sheetData>
  <mergeCells count="11">
    <mergeCell ref="A2:J2"/>
    <mergeCell ref="A3:J3"/>
    <mergeCell ref="A4:J4"/>
    <mergeCell ref="F6:I6"/>
    <mergeCell ref="A14:D14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zoomScaleNormal="100" workbookViewId="0">
      <selection activeCell="B16" sqref="B16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2.140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452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SUM(E9:E10)</f>
        <v>98300</v>
      </c>
      <c r="F8" s="6"/>
      <c r="G8" s="6"/>
      <c r="H8" s="6"/>
      <c r="I8" s="6"/>
      <c r="J8" s="5"/>
    </row>
    <row r="9" spans="1:13" ht="72">
      <c r="A9" s="7">
        <v>1</v>
      </c>
      <c r="B9" s="8" t="s">
        <v>157</v>
      </c>
      <c r="C9" s="16" t="s">
        <v>160</v>
      </c>
      <c r="D9" s="9">
        <v>2</v>
      </c>
      <c r="E9" s="10">
        <f>36300*2</f>
        <v>72600</v>
      </c>
      <c r="F9" s="45" t="s">
        <v>290</v>
      </c>
      <c r="G9" s="47" t="s">
        <v>400</v>
      </c>
      <c r="H9" s="10"/>
      <c r="I9" s="10"/>
      <c r="J9" s="11"/>
    </row>
    <row r="10" spans="1:13" ht="72">
      <c r="A10" s="7">
        <v>2</v>
      </c>
      <c r="B10" s="8" t="s">
        <v>207</v>
      </c>
      <c r="C10" s="16" t="s">
        <v>160</v>
      </c>
      <c r="D10" s="9">
        <v>1</v>
      </c>
      <c r="E10" s="10">
        <f>25700*1</f>
        <v>25700</v>
      </c>
      <c r="F10" s="45" t="s">
        <v>290</v>
      </c>
      <c r="G10" s="47" t="s">
        <v>400</v>
      </c>
      <c r="H10" s="10"/>
      <c r="I10" s="10"/>
      <c r="J10" s="11"/>
      <c r="M10" s="1" t="s">
        <v>9</v>
      </c>
    </row>
    <row r="11" spans="1:13">
      <c r="A11" s="26"/>
      <c r="B11" s="20" t="s">
        <v>228</v>
      </c>
      <c r="C11" s="27"/>
      <c r="D11" s="28"/>
      <c r="E11" s="40">
        <f>SUM(E12:E14)</f>
        <v>1922500</v>
      </c>
      <c r="F11" s="29"/>
      <c r="G11" s="29"/>
      <c r="H11" s="29"/>
      <c r="I11" s="29"/>
      <c r="J11" s="30"/>
    </row>
    <row r="12" spans="1:13" ht="72">
      <c r="A12" s="7">
        <v>3</v>
      </c>
      <c r="B12" s="8" t="s">
        <v>243</v>
      </c>
      <c r="C12" s="16" t="s">
        <v>160</v>
      </c>
      <c r="D12" s="9">
        <v>1</v>
      </c>
      <c r="E12" s="10">
        <f>43500*1</f>
        <v>43500</v>
      </c>
      <c r="F12" s="45" t="s">
        <v>290</v>
      </c>
      <c r="G12" s="47" t="s">
        <v>402</v>
      </c>
      <c r="H12" s="10"/>
      <c r="I12" s="10"/>
      <c r="J12" s="11"/>
      <c r="K12" s="1" t="s">
        <v>9</v>
      </c>
    </row>
    <row r="13" spans="1:13" ht="72">
      <c r="A13" s="7">
        <v>4</v>
      </c>
      <c r="B13" s="8" t="s">
        <v>244</v>
      </c>
      <c r="C13" s="16" t="s">
        <v>160</v>
      </c>
      <c r="D13" s="9">
        <v>1</v>
      </c>
      <c r="E13" s="10">
        <f>1000000*1</f>
        <v>1000000</v>
      </c>
      <c r="F13" s="45" t="s">
        <v>290</v>
      </c>
      <c r="G13" s="47" t="s">
        <v>413</v>
      </c>
      <c r="H13" s="10"/>
      <c r="I13" s="10"/>
      <c r="J13" s="11"/>
    </row>
    <row r="14" spans="1:13" ht="72">
      <c r="A14" s="7">
        <v>5</v>
      </c>
      <c r="B14" s="8" t="s">
        <v>245</v>
      </c>
      <c r="C14" s="16" t="s">
        <v>160</v>
      </c>
      <c r="D14" s="9">
        <v>1</v>
      </c>
      <c r="E14" s="10">
        <f>879000</f>
        <v>879000</v>
      </c>
      <c r="F14" s="45" t="s">
        <v>290</v>
      </c>
      <c r="G14" s="47" t="s">
        <v>413</v>
      </c>
      <c r="H14" s="10"/>
      <c r="I14" s="10"/>
      <c r="J14" s="11"/>
    </row>
    <row r="15" spans="1:13">
      <c r="A15" s="26"/>
      <c r="B15" s="20" t="s">
        <v>265</v>
      </c>
      <c r="C15" s="27"/>
      <c r="D15" s="28"/>
      <c r="E15" s="40">
        <f>SUM(E16)</f>
        <v>55700</v>
      </c>
      <c r="F15" s="29"/>
      <c r="G15" s="29"/>
      <c r="H15" s="29"/>
      <c r="I15" s="29"/>
      <c r="J15" s="30"/>
    </row>
    <row r="16" spans="1:13" ht="48">
      <c r="A16" s="7">
        <v>6</v>
      </c>
      <c r="B16" s="8" t="s">
        <v>274</v>
      </c>
      <c r="C16" s="16" t="s">
        <v>160</v>
      </c>
      <c r="D16" s="9">
        <v>1</v>
      </c>
      <c r="E16" s="10">
        <v>55700</v>
      </c>
      <c r="F16" s="10"/>
      <c r="G16" s="58"/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E8+E11+E15</f>
        <v>2076500</v>
      </c>
      <c r="F17" s="12"/>
      <c r="G17" s="12"/>
      <c r="H17" s="12"/>
      <c r="I17" s="12"/>
      <c r="J17" s="13"/>
    </row>
    <row r="18" spans="1:13">
      <c r="D18" s="2" t="s">
        <v>9</v>
      </c>
      <c r="M18" s="1" t="s">
        <v>9</v>
      </c>
    </row>
    <row r="19" spans="1:13">
      <c r="L19" s="1" t="s">
        <v>9</v>
      </c>
    </row>
  </sheetData>
  <mergeCells count="11">
    <mergeCell ref="A2:J2"/>
    <mergeCell ref="A3:J3"/>
    <mergeCell ref="A4:J4"/>
    <mergeCell ref="F6:I6"/>
    <mergeCell ref="A17:D17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0"/>
  <sheetViews>
    <sheetView topLeftCell="A16" zoomScale="85" zoomScaleNormal="85" workbookViewId="0">
      <selection activeCell="G20" sqref="G20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2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57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2">
      <c r="A8" s="5"/>
      <c r="B8" s="20" t="s">
        <v>107</v>
      </c>
      <c r="C8" s="17"/>
      <c r="D8" s="5"/>
      <c r="E8" s="6">
        <f>SUM(E9:E11)</f>
        <v>98000</v>
      </c>
      <c r="F8" s="6"/>
      <c r="G8" s="6"/>
      <c r="H8" s="6"/>
      <c r="I8" s="6"/>
      <c r="J8" s="5"/>
    </row>
    <row r="9" spans="1:12" ht="120">
      <c r="A9" s="7">
        <v>1</v>
      </c>
      <c r="B9" s="8" t="s">
        <v>54</v>
      </c>
      <c r="C9" s="16" t="s">
        <v>58</v>
      </c>
      <c r="D9" s="9">
        <v>2</v>
      </c>
      <c r="E9" s="10">
        <f>22000*2</f>
        <v>44000</v>
      </c>
      <c r="F9" s="10" t="s">
        <v>342</v>
      </c>
      <c r="G9" s="48" t="s">
        <v>417</v>
      </c>
      <c r="H9" s="10"/>
      <c r="I9" s="10"/>
      <c r="J9" s="11"/>
      <c r="L9" s="1" t="s">
        <v>9</v>
      </c>
    </row>
    <row r="10" spans="1:12" ht="120">
      <c r="A10" s="7">
        <v>2</v>
      </c>
      <c r="B10" s="8" t="s">
        <v>72</v>
      </c>
      <c r="C10" s="16" t="s">
        <v>58</v>
      </c>
      <c r="D10" s="9">
        <v>1</v>
      </c>
      <c r="E10" s="10">
        <f>10000*1</f>
        <v>10000</v>
      </c>
      <c r="F10" s="10" t="s">
        <v>342</v>
      </c>
      <c r="G10" s="48" t="s">
        <v>419</v>
      </c>
      <c r="H10" s="10"/>
      <c r="I10" s="10"/>
      <c r="J10" s="11"/>
      <c r="L10" s="1" t="s">
        <v>9</v>
      </c>
    </row>
    <row r="11" spans="1:12" ht="120">
      <c r="A11" s="7">
        <v>3</v>
      </c>
      <c r="B11" s="8" t="s">
        <v>82</v>
      </c>
      <c r="C11" s="16" t="s">
        <v>58</v>
      </c>
      <c r="D11" s="9">
        <v>2</v>
      </c>
      <c r="E11" s="10">
        <f>22000*2</f>
        <v>44000</v>
      </c>
      <c r="F11" s="10" t="s">
        <v>342</v>
      </c>
      <c r="G11" s="48" t="s">
        <v>418</v>
      </c>
      <c r="H11" s="10"/>
      <c r="I11" s="10"/>
      <c r="J11" s="11"/>
    </row>
    <row r="12" spans="1:12">
      <c r="A12" s="5"/>
      <c r="B12" s="20" t="s">
        <v>109</v>
      </c>
      <c r="C12" s="17"/>
      <c r="D12" s="5"/>
      <c r="E12" s="6">
        <f>SUM(E13:E15)</f>
        <v>255000</v>
      </c>
      <c r="F12" s="6"/>
      <c r="G12" s="6"/>
      <c r="H12" s="6"/>
      <c r="I12" s="6"/>
      <c r="J12" s="5"/>
    </row>
    <row r="13" spans="1:12" ht="72">
      <c r="A13" s="7">
        <v>4</v>
      </c>
      <c r="B13" s="8" t="s">
        <v>147</v>
      </c>
      <c r="C13" s="16" t="s">
        <v>58</v>
      </c>
      <c r="D13" s="9">
        <v>1</v>
      </c>
      <c r="E13" s="10">
        <f>27200*1</f>
        <v>27200</v>
      </c>
      <c r="F13" s="45" t="s">
        <v>290</v>
      </c>
      <c r="G13" s="47" t="s">
        <v>414</v>
      </c>
      <c r="H13" s="10"/>
      <c r="I13" s="10"/>
      <c r="J13" s="11"/>
      <c r="L13" s="1" t="s">
        <v>9</v>
      </c>
    </row>
    <row r="14" spans="1:12" ht="72">
      <c r="A14" s="7">
        <v>5</v>
      </c>
      <c r="B14" s="8" t="s">
        <v>161</v>
      </c>
      <c r="C14" s="16" t="s">
        <v>58</v>
      </c>
      <c r="D14" s="9">
        <v>2</v>
      </c>
      <c r="E14" s="10">
        <f>41500*2</f>
        <v>83000</v>
      </c>
      <c r="F14" s="45" t="s">
        <v>290</v>
      </c>
      <c r="G14" s="47" t="s">
        <v>414</v>
      </c>
      <c r="H14" s="10"/>
      <c r="I14" s="10"/>
      <c r="J14" s="11"/>
    </row>
    <row r="15" spans="1:12" ht="72">
      <c r="A15" s="7">
        <v>6</v>
      </c>
      <c r="B15" s="8" t="s">
        <v>208</v>
      </c>
      <c r="C15" s="16" t="s">
        <v>58</v>
      </c>
      <c r="D15" s="9">
        <v>4</v>
      </c>
      <c r="E15" s="10">
        <f>36200*4</f>
        <v>144800</v>
      </c>
      <c r="F15" s="45" t="s">
        <v>290</v>
      </c>
      <c r="G15" s="47" t="s">
        <v>414</v>
      </c>
      <c r="H15" s="10"/>
      <c r="I15" s="10"/>
      <c r="J15" s="11"/>
      <c r="K15" s="1" t="s">
        <v>9</v>
      </c>
    </row>
    <row r="16" spans="1:12">
      <c r="A16" s="5"/>
      <c r="B16" s="20" t="s">
        <v>256</v>
      </c>
      <c r="C16" s="17"/>
      <c r="D16" s="5"/>
      <c r="E16" s="6">
        <f>SUM(E17)</f>
        <v>74400</v>
      </c>
      <c r="F16" s="6"/>
      <c r="G16" s="6"/>
      <c r="H16" s="6"/>
      <c r="I16" s="6"/>
      <c r="J16" s="5"/>
    </row>
    <row r="17" spans="1:14" ht="240">
      <c r="A17" s="7">
        <v>7</v>
      </c>
      <c r="B17" s="8" t="s">
        <v>415</v>
      </c>
      <c r="C17" s="16" t="s">
        <v>58</v>
      </c>
      <c r="D17" s="9">
        <v>1</v>
      </c>
      <c r="E17" s="10">
        <f>18000+11400+22000+23000</f>
        <v>74400</v>
      </c>
      <c r="F17" s="45" t="s">
        <v>290</v>
      </c>
      <c r="G17" s="47" t="s">
        <v>416</v>
      </c>
      <c r="H17" s="10"/>
      <c r="I17" s="10"/>
      <c r="J17" s="11"/>
      <c r="M17" s="1" t="s">
        <v>9</v>
      </c>
      <c r="N17" s="1" t="s">
        <v>9</v>
      </c>
    </row>
    <row r="18" spans="1:14">
      <c r="A18" s="113" t="s">
        <v>8</v>
      </c>
      <c r="B18" s="114"/>
      <c r="C18" s="114"/>
      <c r="D18" s="115"/>
      <c r="E18" s="12">
        <f>E8+E12+E16</f>
        <v>427400</v>
      </c>
      <c r="F18" s="12"/>
      <c r="G18" s="12"/>
      <c r="H18" s="12"/>
      <c r="I18" s="12"/>
      <c r="J18" s="13"/>
    </row>
    <row r="19" spans="1:14">
      <c r="D19" s="2" t="s">
        <v>9</v>
      </c>
      <c r="M19" s="1" t="s">
        <v>9</v>
      </c>
    </row>
    <row r="20" spans="1:14">
      <c r="L20" s="1" t="s">
        <v>9</v>
      </c>
    </row>
  </sheetData>
  <mergeCells count="11">
    <mergeCell ref="A2:J2"/>
    <mergeCell ref="A3:J3"/>
    <mergeCell ref="A4:J4"/>
    <mergeCell ref="F6:I6"/>
    <mergeCell ref="A18:D18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19"/>
  <sheetViews>
    <sheetView zoomScale="70" zoomScaleNormal="70" workbookViewId="0">
      <selection activeCell="N9" sqref="N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1.140625" style="4" customWidth="1"/>
    <col min="7" max="7" width="36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5">
      <c r="B5" s="3" t="s">
        <v>9</v>
      </c>
      <c r="J5" s="2" t="s">
        <v>2</v>
      </c>
    </row>
    <row r="6" spans="1:15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5" ht="48" customHeight="1">
      <c r="A7" s="120"/>
      <c r="B7" s="120"/>
      <c r="C7" s="120"/>
      <c r="D7" s="120"/>
      <c r="E7" s="122"/>
      <c r="F7" s="49" t="s">
        <v>46</v>
      </c>
      <c r="G7" s="37" t="s">
        <v>292</v>
      </c>
      <c r="H7" s="37" t="s">
        <v>48</v>
      </c>
      <c r="I7" s="37" t="s">
        <v>49</v>
      </c>
      <c r="J7" s="120"/>
    </row>
    <row r="8" spans="1:15">
      <c r="A8" s="5"/>
      <c r="B8" s="20" t="s">
        <v>107</v>
      </c>
      <c r="C8" s="17"/>
      <c r="D8" s="5"/>
      <c r="E8" s="6">
        <f>SUM(E9:E11)</f>
        <v>59000</v>
      </c>
      <c r="F8" s="6"/>
      <c r="G8" s="6"/>
      <c r="H8" s="6"/>
      <c r="I8" s="6"/>
      <c r="J8" s="5"/>
    </row>
    <row r="9" spans="1:15" ht="120">
      <c r="A9" s="7">
        <v>1</v>
      </c>
      <c r="B9" s="8" t="s">
        <v>54</v>
      </c>
      <c r="C9" s="16" t="s">
        <v>51</v>
      </c>
      <c r="D9" s="9">
        <v>1</v>
      </c>
      <c r="E9" s="10">
        <v>22000</v>
      </c>
      <c r="F9" s="46" t="s">
        <v>290</v>
      </c>
      <c r="G9" s="48" t="s">
        <v>397</v>
      </c>
      <c r="H9" s="46" t="s">
        <v>293</v>
      </c>
      <c r="I9" s="46" t="s">
        <v>290</v>
      </c>
      <c r="J9" s="11"/>
      <c r="L9" s="1" t="s">
        <v>9</v>
      </c>
      <c r="M9" s="1" t="s">
        <v>9</v>
      </c>
    </row>
    <row r="10" spans="1:15" ht="120">
      <c r="A10" s="7">
        <v>2</v>
      </c>
      <c r="B10" s="8" t="s">
        <v>80</v>
      </c>
      <c r="C10" s="16" t="s">
        <v>51</v>
      </c>
      <c r="D10" s="9">
        <v>1</v>
      </c>
      <c r="E10" s="10">
        <f>15000*1</f>
        <v>15000</v>
      </c>
      <c r="F10" s="46" t="s">
        <v>290</v>
      </c>
      <c r="G10" s="48" t="s">
        <v>399</v>
      </c>
      <c r="H10" s="46" t="s">
        <v>293</v>
      </c>
      <c r="I10" s="46" t="s">
        <v>290</v>
      </c>
      <c r="J10" s="11"/>
    </row>
    <row r="11" spans="1:15" ht="120">
      <c r="A11" s="7">
        <v>3</v>
      </c>
      <c r="B11" s="8" t="s">
        <v>82</v>
      </c>
      <c r="C11" s="16" t="s">
        <v>51</v>
      </c>
      <c r="D11" s="9">
        <v>1</v>
      </c>
      <c r="E11" s="10">
        <f>22000*1</f>
        <v>22000</v>
      </c>
      <c r="F11" s="46" t="s">
        <v>290</v>
      </c>
      <c r="G11" s="48" t="s">
        <v>398</v>
      </c>
      <c r="H11" s="46" t="s">
        <v>293</v>
      </c>
      <c r="I11" s="46" t="s">
        <v>290</v>
      </c>
      <c r="J11" s="11"/>
      <c r="M11" s="1" t="s">
        <v>9</v>
      </c>
      <c r="N11" s="1" t="s">
        <v>9</v>
      </c>
    </row>
    <row r="12" spans="1:15">
      <c r="A12" s="26"/>
      <c r="B12" s="31" t="s">
        <v>109</v>
      </c>
      <c r="C12" s="27"/>
      <c r="D12" s="28"/>
      <c r="E12" s="40">
        <f>SUM(E13:E16)</f>
        <v>73900</v>
      </c>
      <c r="F12" s="29"/>
      <c r="G12" s="29"/>
      <c r="H12" s="29"/>
      <c r="I12" s="29"/>
      <c r="J12" s="30"/>
    </row>
    <row r="13" spans="1:15" ht="48">
      <c r="A13" s="7">
        <v>4</v>
      </c>
      <c r="B13" s="8" t="s">
        <v>113</v>
      </c>
      <c r="C13" s="16" t="s">
        <v>51</v>
      </c>
      <c r="D13" s="9">
        <v>1</v>
      </c>
      <c r="E13" s="10">
        <f>11800*1</f>
        <v>11800</v>
      </c>
      <c r="F13" s="46" t="s">
        <v>290</v>
      </c>
      <c r="G13" s="47" t="s">
        <v>294</v>
      </c>
      <c r="H13" s="10"/>
      <c r="I13" s="10"/>
      <c r="J13" s="11"/>
    </row>
    <row r="14" spans="1:15" ht="48">
      <c r="A14" s="7">
        <v>5</v>
      </c>
      <c r="B14" s="8" t="s">
        <v>116</v>
      </c>
      <c r="C14" s="16" t="s">
        <v>51</v>
      </c>
      <c r="D14" s="9">
        <v>1</v>
      </c>
      <c r="E14" s="10">
        <f>22000*1</f>
        <v>22000</v>
      </c>
      <c r="F14" s="46" t="s">
        <v>290</v>
      </c>
      <c r="G14" s="47" t="s">
        <v>294</v>
      </c>
      <c r="H14" s="10"/>
      <c r="I14" s="10"/>
      <c r="J14" s="11"/>
    </row>
    <row r="15" spans="1:15" ht="48">
      <c r="A15" s="7">
        <v>6</v>
      </c>
      <c r="B15" s="8" t="s">
        <v>120</v>
      </c>
      <c r="C15" s="16" t="s">
        <v>51</v>
      </c>
      <c r="D15" s="9">
        <v>1</v>
      </c>
      <c r="E15" s="10">
        <f>19300*1</f>
        <v>19300</v>
      </c>
      <c r="F15" s="46" t="s">
        <v>290</v>
      </c>
      <c r="G15" s="47" t="s">
        <v>294</v>
      </c>
      <c r="H15" s="10"/>
      <c r="I15" s="10"/>
      <c r="J15" s="11"/>
      <c r="O15" s="1" t="s">
        <v>9</v>
      </c>
    </row>
    <row r="16" spans="1:15" ht="48">
      <c r="A16" s="7">
        <v>7</v>
      </c>
      <c r="B16" s="8" t="s">
        <v>196</v>
      </c>
      <c r="C16" s="16" t="s">
        <v>51</v>
      </c>
      <c r="D16" s="9">
        <v>4</v>
      </c>
      <c r="E16" s="10">
        <f>5200*4</f>
        <v>20800</v>
      </c>
      <c r="F16" s="46" t="s">
        <v>290</v>
      </c>
      <c r="G16" s="47" t="s">
        <v>294</v>
      </c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E8+E12</f>
        <v>132900</v>
      </c>
      <c r="F17" s="12"/>
      <c r="G17" s="12"/>
      <c r="H17" s="12"/>
      <c r="I17" s="12"/>
      <c r="J17" s="13"/>
    </row>
    <row r="18" spans="1:13">
      <c r="D18" s="2" t="s">
        <v>9</v>
      </c>
      <c r="M18" s="1" t="s">
        <v>9</v>
      </c>
    </row>
    <row r="19" spans="1:13">
      <c r="L19" s="1" t="s">
        <v>9</v>
      </c>
    </row>
  </sheetData>
  <mergeCells count="11">
    <mergeCell ref="A2:J2"/>
    <mergeCell ref="A3:J3"/>
    <mergeCell ref="A4:J4"/>
    <mergeCell ref="A17:D17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4"/>
  <sheetViews>
    <sheetView topLeftCell="A4" zoomScaleNormal="100" workbookViewId="0">
      <selection activeCell="B11" sqref="B11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9.5703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177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SUM(E9)</f>
        <v>227500</v>
      </c>
      <c r="F8" s="6"/>
      <c r="G8" s="6"/>
      <c r="H8" s="6"/>
      <c r="I8" s="6"/>
      <c r="J8" s="5"/>
    </row>
    <row r="9" spans="1:13" ht="72">
      <c r="A9" s="7">
        <v>1</v>
      </c>
      <c r="B9" s="8" t="s">
        <v>179</v>
      </c>
      <c r="C9" s="16" t="s">
        <v>178</v>
      </c>
      <c r="D9" s="9">
        <v>5</v>
      </c>
      <c r="E9" s="10">
        <f>45500*5</f>
        <v>227500</v>
      </c>
      <c r="F9" s="45" t="s">
        <v>290</v>
      </c>
      <c r="G9" s="48" t="s">
        <v>420</v>
      </c>
      <c r="H9" s="10"/>
      <c r="I9" s="10"/>
      <c r="J9" s="11"/>
    </row>
    <row r="10" spans="1:13">
      <c r="A10" s="26"/>
      <c r="B10" s="20" t="s">
        <v>256</v>
      </c>
      <c r="C10" s="27"/>
      <c r="D10" s="28"/>
      <c r="E10" s="40">
        <f>SUM(E11)</f>
        <v>212700</v>
      </c>
      <c r="F10" s="29"/>
      <c r="G10" s="29"/>
      <c r="H10" s="29"/>
      <c r="I10" s="29"/>
      <c r="J10" s="30"/>
      <c r="K10" s="1" t="s">
        <v>9</v>
      </c>
    </row>
    <row r="11" spans="1:13" ht="48">
      <c r="A11" s="7">
        <v>2</v>
      </c>
      <c r="B11" s="8" t="s">
        <v>271</v>
      </c>
      <c r="C11" s="16" t="s">
        <v>178</v>
      </c>
      <c r="D11" s="9">
        <v>1</v>
      </c>
      <c r="E11" s="10">
        <v>212700</v>
      </c>
      <c r="F11" s="57" t="s">
        <v>421</v>
      </c>
      <c r="G11" s="57"/>
      <c r="H11" s="10"/>
      <c r="I11" s="10"/>
      <c r="J11" s="11"/>
    </row>
    <row r="12" spans="1:13">
      <c r="A12" s="113" t="s">
        <v>8</v>
      </c>
      <c r="B12" s="114"/>
      <c r="C12" s="114"/>
      <c r="D12" s="115"/>
      <c r="E12" s="12">
        <f>E8+E10</f>
        <v>440200</v>
      </c>
      <c r="F12" s="12"/>
      <c r="G12" s="12"/>
      <c r="H12" s="12"/>
      <c r="I12" s="12"/>
      <c r="J12" s="13"/>
    </row>
    <row r="13" spans="1:13">
      <c r="D13" s="2" t="s">
        <v>9</v>
      </c>
      <c r="M13" s="1" t="s">
        <v>9</v>
      </c>
    </row>
    <row r="14" spans="1:13">
      <c r="L14" s="1" t="s">
        <v>9</v>
      </c>
    </row>
  </sheetData>
  <mergeCells count="11">
    <mergeCell ref="A2:J2"/>
    <mergeCell ref="A3:J3"/>
    <mergeCell ref="A4:J4"/>
    <mergeCell ref="F6:I6"/>
    <mergeCell ref="A12:D12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7"/>
  <sheetViews>
    <sheetView topLeftCell="A13" zoomScaleNormal="100" workbookViewId="0">
      <selection activeCell="B10" sqref="B10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1.855468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223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SUM(E9:E10)</f>
        <v>27400</v>
      </c>
      <c r="F8" s="6"/>
      <c r="G8" s="6"/>
      <c r="H8" s="6"/>
      <c r="I8" s="6"/>
      <c r="J8" s="5"/>
    </row>
    <row r="9" spans="1:13" ht="48">
      <c r="A9" s="7">
        <v>1</v>
      </c>
      <c r="B9" s="8" t="s">
        <v>224</v>
      </c>
      <c r="C9" s="16" t="s">
        <v>225</v>
      </c>
      <c r="D9" s="9">
        <v>7</v>
      </c>
      <c r="E9" s="10">
        <v>17500</v>
      </c>
      <c r="F9" s="10"/>
      <c r="G9" s="58"/>
      <c r="H9" s="10"/>
      <c r="I9" s="10"/>
      <c r="J9" s="11"/>
    </row>
    <row r="10" spans="1:13" ht="48">
      <c r="A10" s="7">
        <v>2</v>
      </c>
      <c r="B10" s="8" t="s">
        <v>226</v>
      </c>
      <c r="C10" s="16" t="s">
        <v>225</v>
      </c>
      <c r="D10" s="9">
        <v>1</v>
      </c>
      <c r="E10" s="10">
        <v>9900</v>
      </c>
      <c r="F10" s="10"/>
      <c r="G10" s="58"/>
      <c r="H10" s="10"/>
      <c r="I10" s="10"/>
      <c r="J10" s="11"/>
    </row>
    <row r="11" spans="1:13" s="35" customFormat="1">
      <c r="A11" s="5"/>
      <c r="B11" s="20" t="s">
        <v>228</v>
      </c>
      <c r="C11" s="38"/>
      <c r="D11" s="39"/>
      <c r="E11" s="40">
        <f>E12</f>
        <v>50000</v>
      </c>
      <c r="F11" s="40"/>
      <c r="G11" s="40"/>
      <c r="H11" s="40"/>
      <c r="I11" s="40"/>
      <c r="J11" s="20"/>
    </row>
    <row r="12" spans="1:13" ht="72">
      <c r="A12" s="7">
        <v>3</v>
      </c>
      <c r="B12" s="8" t="s">
        <v>238</v>
      </c>
      <c r="C12" s="16" t="s">
        <v>225</v>
      </c>
      <c r="D12" s="9">
        <v>1</v>
      </c>
      <c r="E12" s="10">
        <f>50000*1</f>
        <v>50000</v>
      </c>
      <c r="F12" s="45" t="s">
        <v>290</v>
      </c>
      <c r="G12" s="47" t="s">
        <v>402</v>
      </c>
      <c r="H12" s="10"/>
      <c r="I12" s="10"/>
      <c r="J12" s="11"/>
    </row>
    <row r="13" spans="1:13" s="35" customFormat="1">
      <c r="A13" s="5"/>
      <c r="B13" s="20" t="s">
        <v>256</v>
      </c>
      <c r="C13" s="38"/>
      <c r="D13" s="39"/>
      <c r="E13" s="40">
        <f>E14</f>
        <v>205500</v>
      </c>
      <c r="F13" s="67"/>
      <c r="G13" s="40"/>
      <c r="H13" s="40"/>
      <c r="I13" s="40"/>
      <c r="J13" s="20"/>
    </row>
    <row r="14" spans="1:13" ht="288">
      <c r="A14" s="7">
        <v>4</v>
      </c>
      <c r="B14" s="8" t="s">
        <v>422</v>
      </c>
      <c r="C14" s="16" t="s">
        <v>225</v>
      </c>
      <c r="D14" s="9">
        <v>1</v>
      </c>
      <c r="E14" s="10">
        <f>122000+34200+22000+8300+19000</f>
        <v>205500</v>
      </c>
      <c r="F14" s="45" t="s">
        <v>290</v>
      </c>
      <c r="G14" s="47" t="s">
        <v>423</v>
      </c>
      <c r="H14" s="10"/>
      <c r="I14" s="10"/>
      <c r="J14" s="11"/>
    </row>
    <row r="15" spans="1:13">
      <c r="A15" s="113" t="s">
        <v>8</v>
      </c>
      <c r="B15" s="114"/>
      <c r="C15" s="114"/>
      <c r="D15" s="115"/>
      <c r="E15" s="12">
        <f>E8+E11+E13</f>
        <v>282900</v>
      </c>
      <c r="F15" s="12"/>
      <c r="G15" s="12"/>
      <c r="H15" s="12"/>
      <c r="I15" s="12"/>
      <c r="J15" s="13"/>
    </row>
    <row r="16" spans="1:13">
      <c r="D16" s="2" t="s">
        <v>9</v>
      </c>
      <c r="F16" s="4" t="s">
        <v>9</v>
      </c>
      <c r="M16" s="1" t="s">
        <v>9</v>
      </c>
    </row>
    <row r="17" spans="12:12">
      <c r="L17" s="1" t="s">
        <v>9</v>
      </c>
    </row>
  </sheetData>
  <mergeCells count="11">
    <mergeCell ref="J6:J7"/>
    <mergeCell ref="A2:J2"/>
    <mergeCell ref="A3:J3"/>
    <mergeCell ref="A4:J4"/>
    <mergeCell ref="F6:I6"/>
    <mergeCell ref="E6:E7"/>
    <mergeCell ref="A15:D15"/>
    <mergeCell ref="A6:A7"/>
    <mergeCell ref="B6:B7"/>
    <mergeCell ref="C6:C7"/>
    <mergeCell ref="D6:D7"/>
  </mergeCells>
  <pageMargins left="0.25" right="0.25" top="0.75" bottom="0.75" header="0.3" footer="0.3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3"/>
  <sheetViews>
    <sheetView topLeftCell="A13" zoomScaleNormal="100" workbookViewId="0">
      <selection activeCell="B20" sqref="B20"/>
    </sheetView>
  </sheetViews>
  <sheetFormatPr defaultColWidth="9" defaultRowHeight="24"/>
  <cols>
    <col min="1" max="1" width="9" style="2"/>
    <col min="2" max="2" width="46" style="3" customWidth="1"/>
    <col min="3" max="3" width="1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8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155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2">
      <c r="A8" s="5"/>
      <c r="B8" s="20" t="s">
        <v>109</v>
      </c>
      <c r="C8" s="17"/>
      <c r="D8" s="5"/>
      <c r="E8" s="6">
        <f>SUM(E9:E15)</f>
        <v>163900</v>
      </c>
      <c r="F8" s="6"/>
      <c r="G8" s="6"/>
      <c r="H8" s="6"/>
      <c r="I8" s="6"/>
      <c r="J8" s="5"/>
    </row>
    <row r="9" spans="1:12" ht="48">
      <c r="A9" s="7">
        <v>1</v>
      </c>
      <c r="B9" s="8" t="s">
        <v>151</v>
      </c>
      <c r="C9" s="16" t="s">
        <v>156</v>
      </c>
      <c r="D9" s="9">
        <v>1</v>
      </c>
      <c r="E9" s="10">
        <f>32200*1</f>
        <v>32200</v>
      </c>
      <c r="F9" s="45" t="s">
        <v>290</v>
      </c>
      <c r="G9" s="47" t="s">
        <v>424</v>
      </c>
      <c r="H9" s="10"/>
      <c r="I9" s="10"/>
      <c r="J9" s="11"/>
      <c r="L9" s="1" t="s">
        <v>9</v>
      </c>
    </row>
    <row r="10" spans="1:12" ht="48">
      <c r="A10" s="7">
        <v>2</v>
      </c>
      <c r="B10" s="8" t="s">
        <v>217</v>
      </c>
      <c r="C10" s="16" t="s">
        <v>156</v>
      </c>
      <c r="D10" s="16">
        <v>1</v>
      </c>
      <c r="E10" s="10">
        <v>20000</v>
      </c>
      <c r="F10" s="10"/>
      <c r="G10" s="58"/>
      <c r="H10" s="10"/>
      <c r="I10" s="10"/>
      <c r="J10" s="11"/>
    </row>
    <row r="11" spans="1:12" ht="48">
      <c r="A11" s="7">
        <v>3</v>
      </c>
      <c r="B11" s="8" t="s">
        <v>218</v>
      </c>
      <c r="C11" s="16" t="s">
        <v>156</v>
      </c>
      <c r="D11" s="9">
        <v>13</v>
      </c>
      <c r="E11" s="10">
        <v>22000</v>
      </c>
      <c r="F11" s="10"/>
      <c r="G11" s="58"/>
      <c r="H11" s="10"/>
      <c r="I11" s="10"/>
      <c r="J11" s="11"/>
    </row>
    <row r="12" spans="1:12" ht="48">
      <c r="A12" s="7">
        <v>4</v>
      </c>
      <c r="B12" s="8" t="s">
        <v>219</v>
      </c>
      <c r="C12" s="16" t="s">
        <v>156</v>
      </c>
      <c r="D12" s="9">
        <v>1</v>
      </c>
      <c r="E12" s="10">
        <v>6700</v>
      </c>
      <c r="F12" s="10"/>
      <c r="G12" s="58"/>
      <c r="H12" s="10"/>
      <c r="I12" s="10"/>
      <c r="J12" s="11"/>
    </row>
    <row r="13" spans="1:12" ht="48">
      <c r="A13" s="7">
        <v>5</v>
      </c>
      <c r="B13" s="8" t="s">
        <v>220</v>
      </c>
      <c r="C13" s="16" t="s">
        <v>156</v>
      </c>
      <c r="D13" s="9">
        <v>5</v>
      </c>
      <c r="E13" s="10">
        <v>45500</v>
      </c>
      <c r="F13" s="10"/>
      <c r="G13" s="58"/>
      <c r="H13" s="10"/>
      <c r="I13" s="10"/>
      <c r="J13" s="11"/>
    </row>
    <row r="14" spans="1:12" ht="48">
      <c r="A14" s="7">
        <v>6</v>
      </c>
      <c r="B14" s="8" t="s">
        <v>221</v>
      </c>
      <c r="C14" s="16" t="s">
        <v>156</v>
      </c>
      <c r="D14" s="9">
        <v>1</v>
      </c>
      <c r="E14" s="10">
        <v>23500</v>
      </c>
      <c r="F14" s="10"/>
      <c r="G14" s="58"/>
      <c r="H14" s="10"/>
      <c r="I14" s="10"/>
      <c r="J14" s="11"/>
    </row>
    <row r="15" spans="1:12" ht="48">
      <c r="A15" s="7">
        <v>7</v>
      </c>
      <c r="B15" s="8" t="s">
        <v>222</v>
      </c>
      <c r="C15" s="16" t="s">
        <v>156</v>
      </c>
      <c r="D15" s="9">
        <v>1</v>
      </c>
      <c r="E15" s="10">
        <v>14000</v>
      </c>
      <c r="F15" s="10"/>
      <c r="G15" s="58"/>
      <c r="H15" s="10"/>
      <c r="I15" s="10"/>
      <c r="J15" s="11"/>
    </row>
    <row r="16" spans="1:12">
      <c r="A16" s="26"/>
      <c r="B16" s="31" t="s">
        <v>228</v>
      </c>
      <c r="C16" s="27"/>
      <c r="D16" s="28"/>
      <c r="E16" s="40">
        <f>SUM(E17)</f>
        <v>43500</v>
      </c>
      <c r="F16" s="29"/>
      <c r="G16" s="29"/>
      <c r="H16" s="29"/>
      <c r="I16" s="29"/>
      <c r="J16" s="30"/>
    </row>
    <row r="17" spans="1:13" ht="48">
      <c r="A17" s="7">
        <v>8</v>
      </c>
      <c r="B17" s="8" t="s">
        <v>243</v>
      </c>
      <c r="C17" s="16" t="s">
        <v>156</v>
      </c>
      <c r="D17" s="9">
        <v>1</v>
      </c>
      <c r="E17" s="10">
        <f>43500*1</f>
        <v>43500</v>
      </c>
      <c r="F17" s="10"/>
      <c r="G17" s="47" t="s">
        <v>425</v>
      </c>
      <c r="H17" s="10"/>
      <c r="I17" s="10"/>
      <c r="J17" s="11"/>
    </row>
    <row r="18" spans="1:13">
      <c r="A18" s="26"/>
      <c r="B18" s="20" t="s">
        <v>256</v>
      </c>
      <c r="C18" s="27"/>
      <c r="D18" s="28"/>
      <c r="E18" s="40">
        <f>SUM(E19:E20)</f>
        <v>268300</v>
      </c>
      <c r="F18" s="29"/>
      <c r="G18" s="29"/>
      <c r="H18" s="29"/>
      <c r="I18" s="29"/>
      <c r="J18" s="30"/>
    </row>
    <row r="19" spans="1:13" ht="48">
      <c r="A19" s="7">
        <v>9</v>
      </c>
      <c r="B19" s="8" t="s">
        <v>271</v>
      </c>
      <c r="C19" s="16" t="s">
        <v>156</v>
      </c>
      <c r="D19" s="9">
        <v>1</v>
      </c>
      <c r="E19" s="10">
        <v>212600</v>
      </c>
      <c r="F19" s="45" t="s">
        <v>290</v>
      </c>
      <c r="G19" s="10" t="s">
        <v>335</v>
      </c>
      <c r="H19" s="10"/>
      <c r="I19" s="10"/>
      <c r="J19" s="11" t="s">
        <v>426</v>
      </c>
      <c r="L19" s="1" t="s">
        <v>9</v>
      </c>
    </row>
    <row r="20" spans="1:13" ht="48">
      <c r="A20" s="7">
        <v>10</v>
      </c>
      <c r="B20" s="8" t="s">
        <v>274</v>
      </c>
      <c r="C20" s="16" t="s">
        <v>156</v>
      </c>
      <c r="D20" s="9">
        <v>1</v>
      </c>
      <c r="E20" s="10">
        <v>55700</v>
      </c>
      <c r="F20" s="10"/>
      <c r="G20" s="58"/>
      <c r="H20" s="10"/>
      <c r="I20" s="10"/>
      <c r="J20" s="11"/>
    </row>
    <row r="21" spans="1:13">
      <c r="A21" s="113" t="s">
        <v>8</v>
      </c>
      <c r="B21" s="114"/>
      <c r="C21" s="114"/>
      <c r="D21" s="115"/>
      <c r="E21" s="12">
        <f>E8+E16+E18</f>
        <v>475700</v>
      </c>
      <c r="F21" s="12"/>
      <c r="G21" s="12"/>
      <c r="H21" s="12"/>
      <c r="I21" s="12"/>
      <c r="J21" s="13"/>
    </row>
    <row r="22" spans="1:13">
      <c r="D22" s="2" t="s">
        <v>9</v>
      </c>
      <c r="M22" s="1" t="s">
        <v>9</v>
      </c>
    </row>
    <row r="23" spans="1:13">
      <c r="L23" s="1" t="s">
        <v>9</v>
      </c>
    </row>
  </sheetData>
  <mergeCells count="11">
    <mergeCell ref="A2:J2"/>
    <mergeCell ref="A3:J3"/>
    <mergeCell ref="A4:J4"/>
    <mergeCell ref="F6:I6"/>
    <mergeCell ref="A21:D2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3"/>
  <sheetViews>
    <sheetView topLeftCell="A16" zoomScaleNormal="100" workbookViewId="0">
      <selection activeCell="B20" sqref="B20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68" bestFit="1" customWidth="1"/>
    <col min="7" max="7" width="39.140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149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2">
      <c r="A8" s="5"/>
      <c r="B8" s="20" t="s">
        <v>109</v>
      </c>
      <c r="C8" s="17"/>
      <c r="D8" s="5"/>
      <c r="E8" s="6">
        <f>SUM(E9:E13)</f>
        <v>393500</v>
      </c>
      <c r="F8" s="6"/>
      <c r="G8" s="6"/>
      <c r="H8" s="6"/>
      <c r="I8" s="6"/>
      <c r="J8" s="5"/>
    </row>
    <row r="9" spans="1:12" ht="48">
      <c r="A9" s="7">
        <v>1</v>
      </c>
      <c r="B9" s="8" t="s">
        <v>147</v>
      </c>
      <c r="C9" s="16" t="s">
        <v>150</v>
      </c>
      <c r="D9" s="9">
        <v>1</v>
      </c>
      <c r="E9" s="10">
        <f>27200*1</f>
        <v>27200</v>
      </c>
      <c r="F9" s="45" t="s">
        <v>290</v>
      </c>
      <c r="G9" s="47" t="s">
        <v>427</v>
      </c>
      <c r="H9" s="10"/>
      <c r="I9" s="10"/>
      <c r="J9" s="11"/>
    </row>
    <row r="10" spans="1:12" ht="48">
      <c r="A10" s="7">
        <v>2</v>
      </c>
      <c r="B10" s="8" t="s">
        <v>151</v>
      </c>
      <c r="C10" s="16" t="s">
        <v>150</v>
      </c>
      <c r="D10" s="9">
        <v>1</v>
      </c>
      <c r="E10" s="10">
        <f>32200*1</f>
        <v>32200</v>
      </c>
      <c r="F10" s="45" t="s">
        <v>290</v>
      </c>
      <c r="G10" s="47" t="s">
        <v>427</v>
      </c>
      <c r="H10" s="10" t="s">
        <v>9</v>
      </c>
      <c r="I10" s="10"/>
      <c r="J10" s="11"/>
      <c r="L10" s="1" t="s">
        <v>9</v>
      </c>
    </row>
    <row r="11" spans="1:12" ht="48">
      <c r="A11" s="7">
        <v>3</v>
      </c>
      <c r="B11" s="8" t="s">
        <v>207</v>
      </c>
      <c r="C11" s="16" t="s">
        <v>150</v>
      </c>
      <c r="D11" s="9">
        <v>2</v>
      </c>
      <c r="E11" s="10">
        <f>25700*2</f>
        <v>51400</v>
      </c>
      <c r="F11" s="45" t="s">
        <v>290</v>
      </c>
      <c r="G11" s="47" t="s">
        <v>427</v>
      </c>
      <c r="H11" s="10"/>
      <c r="I11" s="10"/>
      <c r="J11" s="11"/>
      <c r="L11" s="1" t="s">
        <v>9</v>
      </c>
    </row>
    <row r="12" spans="1:12" ht="48">
      <c r="A12" s="7">
        <v>4</v>
      </c>
      <c r="B12" s="8" t="s">
        <v>215</v>
      </c>
      <c r="C12" s="16" t="s">
        <v>150</v>
      </c>
      <c r="D12" s="9">
        <v>1</v>
      </c>
      <c r="E12" s="10">
        <v>42700</v>
      </c>
      <c r="F12" s="45"/>
      <c r="G12" s="58"/>
      <c r="H12" s="10"/>
      <c r="I12" s="10"/>
      <c r="J12" s="11"/>
    </row>
    <row r="13" spans="1:12" ht="48">
      <c r="A13" s="7">
        <v>5</v>
      </c>
      <c r="B13" s="8" t="s">
        <v>216</v>
      </c>
      <c r="C13" s="16" t="s">
        <v>150</v>
      </c>
      <c r="D13" s="9">
        <v>2</v>
      </c>
      <c r="E13" s="10">
        <v>240000</v>
      </c>
      <c r="F13" s="45"/>
      <c r="G13" s="58"/>
      <c r="H13" s="10"/>
      <c r="I13" s="10"/>
      <c r="J13" s="11"/>
    </row>
    <row r="14" spans="1:12">
      <c r="A14" s="26"/>
      <c r="B14" s="31" t="s">
        <v>228</v>
      </c>
      <c r="C14" s="27"/>
      <c r="D14" s="28"/>
      <c r="E14" s="40">
        <f>SUM(E15)</f>
        <v>43500</v>
      </c>
      <c r="F14" s="66"/>
      <c r="G14" s="29"/>
      <c r="H14" s="29"/>
      <c r="I14" s="29"/>
      <c r="J14" s="30"/>
    </row>
    <row r="15" spans="1:12" ht="48">
      <c r="A15" s="7">
        <v>1</v>
      </c>
      <c r="B15" s="8" t="s">
        <v>243</v>
      </c>
      <c r="C15" s="16" t="s">
        <v>150</v>
      </c>
      <c r="D15" s="9">
        <v>1</v>
      </c>
      <c r="E15" s="10">
        <f>43500*1</f>
        <v>43500</v>
      </c>
      <c r="F15" s="45" t="s">
        <v>290</v>
      </c>
      <c r="G15" s="47" t="s">
        <v>428</v>
      </c>
      <c r="H15" s="10"/>
      <c r="I15" s="10"/>
      <c r="J15" s="11"/>
      <c r="L15" s="1" t="s">
        <v>9</v>
      </c>
    </row>
    <row r="16" spans="1:12">
      <c r="A16" s="26"/>
      <c r="B16" s="31" t="s">
        <v>256</v>
      </c>
      <c r="C16" s="27"/>
      <c r="D16" s="28"/>
      <c r="E16" s="40"/>
      <c r="F16" s="66"/>
      <c r="G16" s="29"/>
      <c r="H16" s="29"/>
      <c r="I16" s="29"/>
      <c r="J16" s="30"/>
    </row>
    <row r="17" spans="1:13" ht="120">
      <c r="A17" s="7">
        <v>1</v>
      </c>
      <c r="B17" s="8" t="s">
        <v>429</v>
      </c>
      <c r="C17" s="16" t="s">
        <v>150</v>
      </c>
      <c r="D17" s="9">
        <v>4</v>
      </c>
      <c r="E17" s="10">
        <f>22000*4</f>
        <v>88000</v>
      </c>
      <c r="F17" s="45" t="s">
        <v>9</v>
      </c>
      <c r="G17" s="47" t="s">
        <v>430</v>
      </c>
      <c r="H17" s="10"/>
      <c r="I17" s="10"/>
      <c r="J17" s="11"/>
    </row>
    <row r="18" spans="1:13" ht="120">
      <c r="A18" s="7">
        <v>2</v>
      </c>
      <c r="B18" s="8" t="s">
        <v>431</v>
      </c>
      <c r="C18" s="16" t="s">
        <v>150</v>
      </c>
      <c r="D18" s="9">
        <v>1</v>
      </c>
      <c r="E18" s="10">
        <v>22000</v>
      </c>
      <c r="F18" s="45"/>
      <c r="G18" s="47" t="s">
        <v>432</v>
      </c>
      <c r="H18" s="10"/>
      <c r="I18" s="10"/>
      <c r="J18" s="11"/>
    </row>
    <row r="19" spans="1:13">
      <c r="A19" s="26"/>
      <c r="B19" s="31" t="s">
        <v>231</v>
      </c>
      <c r="C19" s="27"/>
      <c r="D19" s="28"/>
      <c r="E19" s="40">
        <f>SUM(E20)</f>
        <v>1500000</v>
      </c>
      <c r="F19" s="66"/>
      <c r="G19" s="29"/>
      <c r="H19" s="29"/>
      <c r="I19" s="29"/>
      <c r="J19" s="30"/>
    </row>
    <row r="20" spans="1:13" ht="48">
      <c r="A20" s="7">
        <v>1</v>
      </c>
      <c r="B20" s="8" t="s">
        <v>250</v>
      </c>
      <c r="C20" s="16" t="s">
        <v>150</v>
      </c>
      <c r="D20" s="9">
        <v>1</v>
      </c>
      <c r="E20" s="10">
        <v>1500000</v>
      </c>
      <c r="F20" s="45"/>
      <c r="G20" s="10" t="s">
        <v>433</v>
      </c>
      <c r="H20" s="10"/>
      <c r="I20" s="10"/>
      <c r="J20" s="11"/>
    </row>
    <row r="21" spans="1:13">
      <c r="A21" s="113" t="s">
        <v>8</v>
      </c>
      <c r="B21" s="114"/>
      <c r="C21" s="114"/>
      <c r="D21" s="115"/>
      <c r="E21" s="12">
        <f>E8+E14+E19</f>
        <v>1937000</v>
      </c>
      <c r="F21" s="69"/>
      <c r="G21" s="12"/>
      <c r="H21" s="12"/>
      <c r="I21" s="12"/>
      <c r="J21" s="13"/>
    </row>
    <row r="22" spans="1:13">
      <c r="D22" s="2" t="s">
        <v>9</v>
      </c>
      <c r="M22" s="1" t="s">
        <v>9</v>
      </c>
    </row>
    <row r="23" spans="1:13">
      <c r="L23" s="1" t="s">
        <v>9</v>
      </c>
    </row>
  </sheetData>
  <mergeCells count="11">
    <mergeCell ref="A2:J2"/>
    <mergeCell ref="A3:J3"/>
    <mergeCell ref="A4:J4"/>
    <mergeCell ref="F6:I6"/>
    <mergeCell ref="A21:D2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5"/>
  <sheetViews>
    <sheetView zoomScaleNormal="100" workbookViewId="0">
      <selection activeCell="B12" sqref="B12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SUM(E9:E12)</f>
        <v>2061900</v>
      </c>
      <c r="F8" s="6"/>
      <c r="G8" s="6"/>
      <c r="H8" s="6"/>
      <c r="I8" s="6"/>
      <c r="J8" s="5"/>
    </row>
    <row r="9" spans="1:13" ht="48">
      <c r="A9" s="7">
        <v>1</v>
      </c>
      <c r="B9" s="8" t="s">
        <v>128</v>
      </c>
      <c r="C9" s="16" t="s">
        <v>129</v>
      </c>
      <c r="D9" s="9">
        <v>2</v>
      </c>
      <c r="E9" s="10">
        <f>18500*2</f>
        <v>37000</v>
      </c>
      <c r="F9" s="53" t="s">
        <v>325</v>
      </c>
      <c r="G9" s="10"/>
      <c r="H9" s="10"/>
      <c r="I9" s="10"/>
      <c r="J9" s="11"/>
      <c r="K9" s="1" t="s">
        <v>9</v>
      </c>
    </row>
    <row r="10" spans="1:13" ht="48">
      <c r="A10" s="7">
        <v>2</v>
      </c>
      <c r="B10" s="8" t="s">
        <v>137</v>
      </c>
      <c r="C10" s="16" t="s">
        <v>129</v>
      </c>
      <c r="D10" s="9">
        <v>1</v>
      </c>
      <c r="E10" s="10">
        <f>24900*1</f>
        <v>24900</v>
      </c>
      <c r="F10" s="10" t="s">
        <v>326</v>
      </c>
      <c r="G10" s="10"/>
      <c r="H10" s="10"/>
      <c r="I10" s="10"/>
      <c r="J10" s="11"/>
    </row>
    <row r="11" spans="1:13">
      <c r="A11" s="7">
        <v>3</v>
      </c>
      <c r="B11" s="8" t="s">
        <v>182</v>
      </c>
      <c r="C11" s="16" t="s">
        <v>129</v>
      </c>
      <c r="D11" s="9">
        <v>1</v>
      </c>
      <c r="E11" s="10">
        <f>1500000*1</f>
        <v>1500000</v>
      </c>
      <c r="F11" s="53" t="s">
        <v>325</v>
      </c>
      <c r="G11" s="10"/>
      <c r="H11" s="10"/>
      <c r="I11" s="10"/>
      <c r="J11" s="11"/>
      <c r="L11" s="1" t="s">
        <v>9</v>
      </c>
    </row>
    <row r="12" spans="1:13">
      <c r="A12" s="7">
        <v>4</v>
      </c>
      <c r="B12" s="8" t="s">
        <v>203</v>
      </c>
      <c r="C12" s="16" t="s">
        <v>129</v>
      </c>
      <c r="D12" s="9"/>
      <c r="E12" s="10">
        <v>500000</v>
      </c>
      <c r="F12" s="53" t="s">
        <v>324</v>
      </c>
      <c r="G12" s="10"/>
      <c r="H12" s="10"/>
      <c r="I12" s="10"/>
      <c r="J12" s="11"/>
    </row>
    <row r="13" spans="1:13">
      <c r="A13" s="113" t="s">
        <v>8</v>
      </c>
      <c r="B13" s="114"/>
      <c r="C13" s="114"/>
      <c r="D13" s="115"/>
      <c r="E13" s="12">
        <f>E8</f>
        <v>2061900</v>
      </c>
      <c r="F13" s="12"/>
      <c r="G13" s="12"/>
      <c r="H13" s="12"/>
      <c r="I13" s="12"/>
      <c r="J13" s="13"/>
    </row>
    <row r="14" spans="1:13">
      <c r="D14" s="2" t="s">
        <v>9</v>
      </c>
      <c r="M14" s="1" t="s">
        <v>9</v>
      </c>
    </row>
    <row r="15" spans="1:13">
      <c r="L15" s="1" t="s">
        <v>9</v>
      </c>
    </row>
  </sheetData>
  <mergeCells count="11">
    <mergeCell ref="A2:J2"/>
    <mergeCell ref="A3:J3"/>
    <mergeCell ref="A4:J4"/>
    <mergeCell ref="F6:I6"/>
    <mergeCell ref="A13:D13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topLeftCell="A2" zoomScaleNormal="100" workbookViewId="0">
      <selection activeCell="G13" sqref="G13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0.5703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172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SUM(E9)</f>
        <v>546000</v>
      </c>
      <c r="F8" s="6"/>
      <c r="G8" s="6"/>
      <c r="H8" s="6"/>
      <c r="I8" s="6"/>
      <c r="J8" s="5"/>
    </row>
    <row r="9" spans="1:13" ht="48">
      <c r="A9" s="7">
        <v>1</v>
      </c>
      <c r="B9" s="8" t="s">
        <v>171</v>
      </c>
      <c r="C9" s="16" t="s">
        <v>173</v>
      </c>
      <c r="D9" s="9">
        <v>12</v>
      </c>
      <c r="E9" s="10">
        <f>45500*12</f>
        <v>546000</v>
      </c>
      <c r="F9" s="45" t="s">
        <v>290</v>
      </c>
      <c r="G9" s="47" t="s">
        <v>294</v>
      </c>
      <c r="H9" s="10"/>
      <c r="I9" s="10"/>
      <c r="J9" s="11"/>
    </row>
    <row r="10" spans="1:13">
      <c r="A10" s="113" t="s">
        <v>8</v>
      </c>
      <c r="B10" s="114"/>
      <c r="C10" s="114"/>
      <c r="D10" s="115"/>
      <c r="E10" s="12">
        <f>E8</f>
        <v>546000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L12" s="1" t="s">
        <v>9</v>
      </c>
    </row>
    <row r="13" spans="1:13">
      <c r="I13" s="4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zoomScaleNormal="100" workbookViewId="0">
      <selection activeCell="B10" sqref="B10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3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108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SUM(E9:E10)</f>
        <v>800000</v>
      </c>
      <c r="F8" s="6"/>
      <c r="G8" s="6"/>
      <c r="H8" s="6"/>
      <c r="I8" s="6"/>
      <c r="J8" s="5"/>
    </row>
    <row r="9" spans="1:13" ht="48">
      <c r="A9" s="7">
        <v>1</v>
      </c>
      <c r="B9" s="8" t="s">
        <v>122</v>
      </c>
      <c r="C9" s="16" t="s">
        <v>110</v>
      </c>
      <c r="D9" s="9">
        <v>4</v>
      </c>
      <c r="E9" s="10">
        <f>180000*4</f>
        <v>720000</v>
      </c>
      <c r="F9" s="58" t="s">
        <v>327</v>
      </c>
      <c r="G9" s="47" t="s">
        <v>328</v>
      </c>
      <c r="H9" s="10"/>
      <c r="I9" s="10"/>
      <c r="J9" s="11"/>
      <c r="L9" s="1" t="s">
        <v>9</v>
      </c>
    </row>
    <row r="10" spans="1:13" ht="48">
      <c r="A10" s="7">
        <v>2</v>
      </c>
      <c r="B10" s="8" t="s">
        <v>121</v>
      </c>
      <c r="C10" s="16" t="s">
        <v>110</v>
      </c>
      <c r="D10" s="9">
        <v>4</v>
      </c>
      <c r="E10" s="10">
        <f>20000*4</f>
        <v>80000</v>
      </c>
      <c r="F10" s="58" t="s">
        <v>327</v>
      </c>
      <c r="G10" s="58"/>
      <c r="H10" s="10"/>
      <c r="I10" s="10"/>
      <c r="J10" s="11"/>
    </row>
    <row r="11" spans="1:13">
      <c r="A11" s="113" t="s">
        <v>8</v>
      </c>
      <c r="B11" s="114"/>
      <c r="C11" s="114"/>
      <c r="D11" s="115"/>
      <c r="E11" s="12">
        <f>E8</f>
        <v>800000</v>
      </c>
      <c r="F11" s="12"/>
      <c r="G11" s="12"/>
      <c r="H11" s="12"/>
      <c r="I11" s="12"/>
      <c r="J11" s="13"/>
    </row>
    <row r="12" spans="1:13">
      <c r="D12" s="2" t="s">
        <v>9</v>
      </c>
      <c r="M12" s="1" t="s">
        <v>9</v>
      </c>
    </row>
    <row r="13" spans="1:13">
      <c r="L13" s="1" t="s">
        <v>9</v>
      </c>
    </row>
  </sheetData>
  <mergeCells count="11">
    <mergeCell ref="A2:J2"/>
    <mergeCell ref="A3:J3"/>
    <mergeCell ref="A4:J4"/>
    <mergeCell ref="F6:I6"/>
    <mergeCell ref="A11:D1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5"/>
  <sheetViews>
    <sheetView topLeftCell="A4" zoomScaleNormal="100" workbookViewId="0">
      <selection activeCell="G9" sqref="G9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0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285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SUM(E9:E12)</f>
        <v>139200</v>
      </c>
      <c r="F8" s="6"/>
      <c r="G8" s="6"/>
      <c r="H8" s="6"/>
      <c r="I8" s="6"/>
      <c r="J8" s="5"/>
    </row>
    <row r="9" spans="1:13" ht="48">
      <c r="A9" s="7">
        <v>1</v>
      </c>
      <c r="B9" s="8" t="s">
        <v>287</v>
      </c>
      <c r="C9" s="16" t="s">
        <v>286</v>
      </c>
      <c r="D9" s="9">
        <v>1</v>
      </c>
      <c r="E9" s="10">
        <v>45500</v>
      </c>
      <c r="F9" s="45" t="s">
        <v>290</v>
      </c>
      <c r="G9" s="47" t="s">
        <v>329</v>
      </c>
      <c r="H9" s="10"/>
      <c r="I9" s="10"/>
      <c r="J9" s="11"/>
    </row>
    <row r="10" spans="1:13" ht="48">
      <c r="A10" s="7">
        <v>2</v>
      </c>
      <c r="B10" s="8" t="s">
        <v>288</v>
      </c>
      <c r="C10" s="16" t="s">
        <v>286</v>
      </c>
      <c r="D10" s="9">
        <v>1</v>
      </c>
      <c r="E10" s="10">
        <v>37900</v>
      </c>
      <c r="F10" s="45" t="s">
        <v>290</v>
      </c>
      <c r="G10" s="47" t="s">
        <v>329</v>
      </c>
      <c r="H10" s="10"/>
      <c r="I10" s="10"/>
      <c r="J10" s="11"/>
      <c r="K10" s="1" t="s">
        <v>9</v>
      </c>
    </row>
    <row r="11" spans="1:13" ht="48">
      <c r="A11" s="7">
        <v>3</v>
      </c>
      <c r="B11" s="8" t="s">
        <v>289</v>
      </c>
      <c r="C11" s="16" t="s">
        <v>286</v>
      </c>
      <c r="D11" s="9">
        <v>2</v>
      </c>
      <c r="E11" s="10">
        <f>27900*2</f>
        <v>55800</v>
      </c>
      <c r="F11" s="45" t="s">
        <v>290</v>
      </c>
      <c r="G11" s="47" t="s">
        <v>329</v>
      </c>
      <c r="H11" s="10"/>
      <c r="I11" s="10"/>
      <c r="J11" s="11"/>
    </row>
    <row r="12" spans="1:13">
      <c r="A12" s="7"/>
      <c r="B12" s="8"/>
      <c r="C12" s="16"/>
      <c r="D12" s="9"/>
      <c r="E12" s="10"/>
      <c r="F12" s="10"/>
      <c r="G12" s="10"/>
      <c r="H12" s="10"/>
      <c r="I12" s="10"/>
      <c r="J12" s="11"/>
    </row>
    <row r="13" spans="1:13">
      <c r="A13" s="113" t="s">
        <v>8</v>
      </c>
      <c r="B13" s="114"/>
      <c r="C13" s="114"/>
      <c r="D13" s="115"/>
      <c r="E13" s="12">
        <f>E8</f>
        <v>139200</v>
      </c>
      <c r="F13" s="12"/>
      <c r="G13" s="12"/>
      <c r="H13" s="12"/>
      <c r="I13" s="12"/>
      <c r="J13" s="13"/>
    </row>
    <row r="14" spans="1:13">
      <c r="D14" s="2" t="s">
        <v>9</v>
      </c>
      <c r="G14" s="4" t="s">
        <v>9</v>
      </c>
      <c r="M14" s="1" t="s">
        <v>9</v>
      </c>
    </row>
    <row r="15" spans="1:13">
      <c r="L15" s="1" t="s">
        <v>9</v>
      </c>
    </row>
  </sheetData>
  <mergeCells count="11">
    <mergeCell ref="A13:D13"/>
    <mergeCell ref="A2:J2"/>
    <mergeCell ref="A3:J3"/>
    <mergeCell ref="A4:J4"/>
    <mergeCell ref="A6:A7"/>
    <mergeCell ref="B6:B7"/>
    <mergeCell ref="C6:C7"/>
    <mergeCell ref="D6:D7"/>
    <mergeCell ref="E6:E7"/>
    <mergeCell ref="F6:I6"/>
    <mergeCell ref="J6:J7"/>
  </mergeCells>
  <pageMargins left="0.25" right="0.25" top="0.75" bottom="0.75" header="0.3" footer="0.3"/>
  <pageSetup paperSize="9" scale="6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048574"/>
  <sheetViews>
    <sheetView view="pageBreakPreview" zoomScale="70" zoomScaleNormal="100" zoomScaleSheetLayoutView="70" workbookViewId="0">
      <selection activeCell="F9" sqref="F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0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164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67</v>
      </c>
      <c r="C8" s="17"/>
      <c r="D8" s="5"/>
      <c r="E8" s="6">
        <f>SUM(E9:E10)</f>
        <v>1974000</v>
      </c>
      <c r="F8" s="6"/>
      <c r="G8" s="6"/>
      <c r="H8" s="6"/>
      <c r="I8" s="6"/>
      <c r="J8" s="5"/>
    </row>
    <row r="9" spans="1:13" ht="48">
      <c r="A9" s="7">
        <v>1</v>
      </c>
      <c r="B9" s="8" t="s">
        <v>161</v>
      </c>
      <c r="C9" s="16" t="s">
        <v>165</v>
      </c>
      <c r="D9" s="9">
        <v>7</v>
      </c>
      <c r="E9" s="10">
        <f>41500*7</f>
        <v>290500</v>
      </c>
      <c r="F9" s="45" t="s">
        <v>290</v>
      </c>
      <c r="G9" s="47" t="s">
        <v>329</v>
      </c>
      <c r="H9" s="10"/>
      <c r="I9" s="10"/>
      <c r="J9" s="11"/>
      <c r="L9" s="1" t="s">
        <v>9</v>
      </c>
    </row>
    <row r="10" spans="1:13" ht="48">
      <c r="A10" s="7">
        <v>2</v>
      </c>
      <c r="B10" s="8" t="s">
        <v>171</v>
      </c>
      <c r="C10" s="16" t="s">
        <v>165</v>
      </c>
      <c r="D10" s="9">
        <v>37</v>
      </c>
      <c r="E10" s="10">
        <f>45500*37</f>
        <v>1683500</v>
      </c>
      <c r="F10" s="45" t="s">
        <v>290</v>
      </c>
      <c r="G10" s="47" t="s">
        <v>329</v>
      </c>
      <c r="H10" s="10"/>
      <c r="I10" s="10"/>
      <c r="J10" s="11"/>
    </row>
    <row r="11" spans="1:13">
      <c r="A11" s="113" t="s">
        <v>8</v>
      </c>
      <c r="B11" s="114"/>
      <c r="C11" s="114"/>
      <c r="D11" s="115"/>
      <c r="E11" s="12">
        <f>E8</f>
        <v>1974000</v>
      </c>
      <c r="F11" s="12"/>
      <c r="G11" s="12"/>
      <c r="H11" s="12"/>
      <c r="I11" s="12"/>
      <c r="J11" s="13"/>
    </row>
    <row r="12" spans="1:13">
      <c r="D12" s="2" t="s">
        <v>9</v>
      </c>
      <c r="H12" s="4" t="s">
        <v>9</v>
      </c>
      <c r="M12" s="1" t="s">
        <v>9</v>
      </c>
    </row>
    <row r="13" spans="1:13">
      <c r="C13" s="3"/>
      <c r="L13" s="1" t="s">
        <v>9</v>
      </c>
    </row>
    <row r="18" spans="6:6">
      <c r="F18" s="4" t="s">
        <v>9</v>
      </c>
    </row>
    <row r="1048574" spans="3:3">
      <c r="C1048574" s="44"/>
    </row>
  </sheetData>
  <mergeCells count="11">
    <mergeCell ref="A2:J2"/>
    <mergeCell ref="A3:J3"/>
    <mergeCell ref="A4:J4"/>
    <mergeCell ref="F6:I6"/>
    <mergeCell ref="A11:D1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5"/>
  <sheetViews>
    <sheetView topLeftCell="A7" zoomScaleNormal="100" workbookViewId="0">
      <selection activeCell="B12" sqref="B12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1.140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85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107</v>
      </c>
      <c r="C8" s="17"/>
      <c r="D8" s="5"/>
      <c r="E8" s="6">
        <f>SUM(E9:E12)</f>
        <v>279800</v>
      </c>
      <c r="F8" s="6"/>
      <c r="G8" s="6"/>
      <c r="H8" s="6"/>
      <c r="I8" s="6"/>
      <c r="J8" s="5"/>
    </row>
    <row r="9" spans="1:13" ht="72">
      <c r="A9" s="7">
        <v>1</v>
      </c>
      <c r="B9" s="8" t="s">
        <v>330</v>
      </c>
      <c r="C9" s="16" t="s">
        <v>86</v>
      </c>
      <c r="D9" s="16">
        <v>4</v>
      </c>
      <c r="E9" s="10">
        <f>24000*4</f>
        <v>96000</v>
      </c>
      <c r="F9" s="45" t="s">
        <v>290</v>
      </c>
      <c r="G9" s="47" t="s">
        <v>334</v>
      </c>
      <c r="H9" s="10"/>
      <c r="I9" s="10"/>
      <c r="J9" s="11"/>
    </row>
    <row r="10" spans="1:13" ht="72">
      <c r="A10" s="7">
        <v>2</v>
      </c>
      <c r="B10" s="8" t="s">
        <v>331</v>
      </c>
      <c r="C10" s="16" t="s">
        <v>86</v>
      </c>
      <c r="D10" s="16">
        <v>4</v>
      </c>
      <c r="E10" s="10">
        <f>20000*4</f>
        <v>80000</v>
      </c>
      <c r="F10" s="45" t="s">
        <v>290</v>
      </c>
      <c r="G10" s="47" t="s">
        <v>334</v>
      </c>
      <c r="H10" s="10"/>
      <c r="I10" s="10"/>
      <c r="J10" s="11"/>
    </row>
    <row r="11" spans="1:13" ht="72">
      <c r="A11" s="7">
        <v>3</v>
      </c>
      <c r="B11" s="8" t="s">
        <v>332</v>
      </c>
      <c r="C11" s="16" t="s">
        <v>86</v>
      </c>
      <c r="D11" s="16">
        <v>2</v>
      </c>
      <c r="E11" s="10">
        <f>29900*2</f>
        <v>59800</v>
      </c>
      <c r="F11" s="45" t="s">
        <v>290</v>
      </c>
      <c r="G11" s="47" t="s">
        <v>334</v>
      </c>
      <c r="H11" s="10"/>
      <c r="I11" s="10"/>
      <c r="J11" s="11"/>
    </row>
    <row r="12" spans="1:13">
      <c r="A12" s="7">
        <v>4</v>
      </c>
      <c r="B12" s="8" t="s">
        <v>333</v>
      </c>
      <c r="C12" s="16" t="s">
        <v>86</v>
      </c>
      <c r="D12" s="16">
        <v>2</v>
      </c>
      <c r="E12" s="10">
        <f>22000*2</f>
        <v>44000</v>
      </c>
      <c r="F12" s="45" t="s">
        <v>290</v>
      </c>
      <c r="G12" s="58" t="s">
        <v>322</v>
      </c>
      <c r="H12" s="10"/>
      <c r="I12" s="10"/>
      <c r="J12" s="11"/>
    </row>
    <row r="13" spans="1:13">
      <c r="A13" s="113" t="s">
        <v>8</v>
      </c>
      <c r="B13" s="114"/>
      <c r="C13" s="114"/>
      <c r="D13" s="115"/>
      <c r="E13" s="12">
        <f>E8</f>
        <v>279800</v>
      </c>
      <c r="F13" s="12"/>
      <c r="G13" s="12"/>
      <c r="H13" s="12"/>
      <c r="I13" s="12"/>
      <c r="J13" s="13"/>
    </row>
    <row r="14" spans="1:13">
      <c r="C14" s="2" t="s">
        <v>9</v>
      </c>
      <c r="D14" s="2" t="s">
        <v>9</v>
      </c>
      <c r="F14" s="4" t="s">
        <v>9</v>
      </c>
      <c r="M14" s="1" t="s">
        <v>9</v>
      </c>
    </row>
    <row r="15" spans="1:13">
      <c r="F15" s="4" t="s">
        <v>9</v>
      </c>
      <c r="J15" s="3" t="s">
        <v>9</v>
      </c>
      <c r="L15" s="1" t="s">
        <v>9</v>
      </c>
    </row>
  </sheetData>
  <mergeCells count="11">
    <mergeCell ref="A2:J2"/>
    <mergeCell ref="A3:J3"/>
    <mergeCell ref="A4:J4"/>
    <mergeCell ref="F6:I6"/>
    <mergeCell ref="A13:D13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1"/>
  <sheetViews>
    <sheetView topLeftCell="A13" zoomScale="85" zoomScaleNormal="85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29.855468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83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3">
      <c r="A8" s="5"/>
      <c r="B8" s="20" t="s">
        <v>107</v>
      </c>
      <c r="C8" s="17"/>
      <c r="D8" s="5"/>
      <c r="E8" s="6">
        <f>SUM(E9:E10)</f>
        <v>2318000</v>
      </c>
      <c r="F8" s="6"/>
      <c r="G8" s="6"/>
      <c r="H8" s="6"/>
      <c r="I8" s="6"/>
      <c r="J8" s="5"/>
    </row>
    <row r="9" spans="1:13" ht="138.75" customHeight="1">
      <c r="A9" s="7">
        <v>1</v>
      </c>
      <c r="B9" s="8" t="s">
        <v>82</v>
      </c>
      <c r="C9" s="16" t="s">
        <v>84</v>
      </c>
      <c r="D9" s="9">
        <v>3</v>
      </c>
      <c r="E9" s="10">
        <f>726000*3</f>
        <v>2178000</v>
      </c>
      <c r="F9" s="46" t="s">
        <v>290</v>
      </c>
      <c r="G9" s="48" t="s">
        <v>295</v>
      </c>
      <c r="H9" s="10"/>
      <c r="I9" s="10"/>
      <c r="J9" s="11"/>
      <c r="L9" s="1" t="s">
        <v>9</v>
      </c>
    </row>
    <row r="10" spans="1:13" ht="144">
      <c r="A10" s="7">
        <v>2</v>
      </c>
      <c r="B10" s="8" t="s">
        <v>94</v>
      </c>
      <c r="C10" s="16" t="s">
        <v>84</v>
      </c>
      <c r="D10" s="9">
        <v>7</v>
      </c>
      <c r="E10" s="10">
        <f>20000*7</f>
        <v>140000</v>
      </c>
      <c r="F10" s="46" t="s">
        <v>290</v>
      </c>
      <c r="G10" s="48" t="s">
        <v>296</v>
      </c>
      <c r="H10" s="10"/>
      <c r="I10" s="10"/>
      <c r="J10" s="11"/>
      <c r="M10" s="1" t="s">
        <v>9</v>
      </c>
    </row>
    <row r="11" spans="1:13">
      <c r="A11" s="5"/>
      <c r="B11" s="20" t="s">
        <v>109</v>
      </c>
      <c r="C11" s="17"/>
      <c r="D11" s="5"/>
      <c r="E11" s="6">
        <f>SUM(E12:E14)</f>
        <v>323200</v>
      </c>
      <c r="F11" s="6"/>
      <c r="G11" s="6"/>
      <c r="H11" s="6"/>
      <c r="I11" s="6"/>
      <c r="J11" s="5"/>
    </row>
    <row r="12" spans="1:13" ht="72">
      <c r="A12" s="7">
        <v>3</v>
      </c>
      <c r="B12" s="8" t="s">
        <v>151</v>
      </c>
      <c r="C12" s="16" t="s">
        <v>84</v>
      </c>
      <c r="D12" s="9">
        <v>6</v>
      </c>
      <c r="E12" s="10">
        <f>32200*6</f>
        <v>193200</v>
      </c>
      <c r="F12" s="46" t="s">
        <v>290</v>
      </c>
      <c r="G12" s="47" t="s">
        <v>297</v>
      </c>
      <c r="H12" s="10"/>
      <c r="I12" s="10"/>
      <c r="J12" s="11"/>
    </row>
    <row r="13" spans="1:13">
      <c r="A13" s="7">
        <v>4</v>
      </c>
      <c r="B13" s="8" t="s">
        <v>186</v>
      </c>
      <c r="C13" s="16" t="s">
        <v>84</v>
      </c>
      <c r="D13" s="9">
        <v>1</v>
      </c>
      <c r="E13" s="10">
        <f>74000*1</f>
        <v>74000</v>
      </c>
      <c r="F13" s="46" t="s">
        <v>290</v>
      </c>
      <c r="G13" s="10" t="s">
        <v>298</v>
      </c>
      <c r="H13" s="10"/>
      <c r="I13" s="10"/>
      <c r="J13" s="11"/>
    </row>
    <row r="14" spans="1:13">
      <c r="A14" s="7">
        <v>5</v>
      </c>
      <c r="B14" s="8" t="s">
        <v>191</v>
      </c>
      <c r="C14" s="16" t="s">
        <v>84</v>
      </c>
      <c r="D14" s="9">
        <v>16</v>
      </c>
      <c r="E14" s="10">
        <f>3500*16</f>
        <v>56000</v>
      </c>
      <c r="F14" s="46" t="s">
        <v>290</v>
      </c>
      <c r="G14" s="10" t="s">
        <v>298</v>
      </c>
      <c r="H14" s="10"/>
      <c r="I14" s="10"/>
      <c r="J14" s="11"/>
    </row>
    <row r="15" spans="1:13">
      <c r="A15" s="5"/>
      <c r="B15" s="20" t="s">
        <v>256</v>
      </c>
      <c r="C15" s="17"/>
      <c r="D15" s="5"/>
      <c r="E15" s="6">
        <f>SUM(E16:E17)</f>
        <v>159000</v>
      </c>
      <c r="F15" s="6"/>
      <c r="G15" s="6"/>
      <c r="H15" s="6"/>
      <c r="I15" s="6"/>
      <c r="J15" s="5"/>
    </row>
    <row r="16" spans="1:13">
      <c r="A16" s="7">
        <v>6</v>
      </c>
      <c r="B16" s="8" t="s">
        <v>275</v>
      </c>
      <c r="C16" s="16" t="s">
        <v>84</v>
      </c>
      <c r="D16" s="9">
        <v>1</v>
      </c>
      <c r="E16" s="10">
        <v>100000</v>
      </c>
      <c r="F16" s="46" t="s">
        <v>290</v>
      </c>
      <c r="G16" s="10" t="s">
        <v>298</v>
      </c>
      <c r="H16" s="10"/>
      <c r="I16" s="10"/>
      <c r="J16" s="11"/>
    </row>
    <row r="17" spans="1:13">
      <c r="A17" s="7">
        <v>7</v>
      </c>
      <c r="B17" s="8" t="s">
        <v>276</v>
      </c>
      <c r="C17" s="16" t="s">
        <v>84</v>
      </c>
      <c r="D17" s="9">
        <v>1</v>
      </c>
      <c r="E17" s="10">
        <v>59000</v>
      </c>
      <c r="F17" s="46" t="s">
        <v>290</v>
      </c>
      <c r="G17" s="10" t="s">
        <v>298</v>
      </c>
      <c r="H17" s="10"/>
      <c r="I17" s="10"/>
      <c r="J17" s="11"/>
    </row>
    <row r="18" spans="1:13">
      <c r="A18" s="113" t="s">
        <v>8</v>
      </c>
      <c r="B18" s="114"/>
      <c r="C18" s="114"/>
      <c r="D18" s="115"/>
      <c r="E18" s="12">
        <f>E8+E11+E15</f>
        <v>2800200</v>
      </c>
      <c r="F18" s="12"/>
      <c r="G18" s="12"/>
      <c r="H18" s="12"/>
      <c r="I18" s="12"/>
      <c r="J18" s="13"/>
    </row>
    <row r="19" spans="1:13">
      <c r="D19" s="2" t="s">
        <v>9</v>
      </c>
      <c r="F19" s="4" t="s">
        <v>9</v>
      </c>
      <c r="M19" s="1" t="s">
        <v>9</v>
      </c>
    </row>
    <row r="20" spans="1:13">
      <c r="L20" s="1" t="s">
        <v>9</v>
      </c>
    </row>
    <row r="21" spans="1:13">
      <c r="G21" s="4" t="s">
        <v>9</v>
      </c>
    </row>
  </sheetData>
  <mergeCells count="11">
    <mergeCell ref="A2:J2"/>
    <mergeCell ref="A3:J3"/>
    <mergeCell ref="A4:J4"/>
    <mergeCell ref="F6:I6"/>
    <mergeCell ref="A18:D18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zoomScaleNormal="100" workbookViewId="0">
      <selection activeCell="H12" sqref="H12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25.28515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255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256</v>
      </c>
      <c r="C8" s="17"/>
      <c r="D8" s="5"/>
      <c r="E8" s="6">
        <f>SUM(E9)</f>
        <v>59000</v>
      </c>
      <c r="F8" s="6"/>
      <c r="G8" s="6"/>
      <c r="H8" s="6"/>
      <c r="I8" s="6"/>
      <c r="J8" s="5"/>
    </row>
    <row r="9" spans="1:13" ht="48">
      <c r="A9" s="7">
        <v>1</v>
      </c>
      <c r="B9" s="8" t="s">
        <v>260</v>
      </c>
      <c r="C9" s="16" t="s">
        <v>257</v>
      </c>
      <c r="D9" s="9">
        <v>1</v>
      </c>
      <c r="E9" s="10">
        <f>59000*1</f>
        <v>59000</v>
      </c>
      <c r="F9" s="45" t="s">
        <v>290</v>
      </c>
      <c r="G9" s="10" t="s">
        <v>335</v>
      </c>
      <c r="H9" s="10"/>
      <c r="I9" s="45" t="s">
        <v>290</v>
      </c>
      <c r="J9" s="11"/>
    </row>
    <row r="10" spans="1:13">
      <c r="A10" s="113" t="s">
        <v>8</v>
      </c>
      <c r="B10" s="114"/>
      <c r="C10" s="114"/>
      <c r="D10" s="115"/>
      <c r="E10" s="12">
        <f>E8</f>
        <v>59000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L12" s="1" t="s">
        <v>9</v>
      </c>
    </row>
    <row r="13" spans="1:13">
      <c r="I13" s="4" t="s">
        <v>9</v>
      </c>
    </row>
  </sheetData>
  <mergeCells count="11">
    <mergeCell ref="J6:J7"/>
    <mergeCell ref="A2:J2"/>
    <mergeCell ref="A3:J3"/>
    <mergeCell ref="A4:J4"/>
    <mergeCell ref="F6:I6"/>
    <mergeCell ref="E6:E7"/>
    <mergeCell ref="A10:D10"/>
    <mergeCell ref="A6:A7"/>
    <mergeCell ref="B6:B7"/>
    <mergeCell ref="C6:C7"/>
    <mergeCell ref="D6:D7"/>
  </mergeCells>
  <pageMargins left="0.25" right="0.25" top="0.75" bottom="0.75" header="0.3" footer="0.3"/>
  <pageSetup paperSize="9" scale="60" orientation="portrait" r:id="rId1"/>
  <colBreaks count="1" manualBreakCount="1">
    <brk id="1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zoomScale="70" zoomScaleNormal="70" workbookViewId="0">
      <selection activeCell="F9" sqref="F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14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J5" s="2" t="s">
        <v>2</v>
      </c>
    </row>
    <row r="6" spans="1:14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4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  <c r="M7" s="1" t="s">
        <v>9</v>
      </c>
    </row>
    <row r="8" spans="1:14">
      <c r="A8" s="5"/>
      <c r="B8" s="20" t="s">
        <v>248</v>
      </c>
      <c r="C8" s="17"/>
      <c r="D8" s="5"/>
      <c r="E8" s="6">
        <f>SUM(E9)</f>
        <v>999600</v>
      </c>
      <c r="F8" s="37"/>
      <c r="G8" s="37"/>
      <c r="H8" s="37"/>
      <c r="I8" s="37"/>
      <c r="J8" s="41"/>
      <c r="N8" s="1" t="s">
        <v>9</v>
      </c>
    </row>
    <row r="9" spans="1:14" ht="96">
      <c r="A9" s="7">
        <v>1</v>
      </c>
      <c r="B9" s="8" t="s">
        <v>249</v>
      </c>
      <c r="C9" s="16" t="s">
        <v>13</v>
      </c>
      <c r="D9" s="9">
        <v>1</v>
      </c>
      <c r="E9" s="10">
        <v>999600</v>
      </c>
      <c r="F9" s="22" t="s">
        <v>293</v>
      </c>
      <c r="G9" s="22" t="s">
        <v>293</v>
      </c>
      <c r="H9" s="54" t="s">
        <v>336</v>
      </c>
      <c r="I9" s="22" t="s">
        <v>290</v>
      </c>
      <c r="J9" s="21"/>
    </row>
    <row r="10" spans="1:14">
      <c r="A10" s="113" t="s">
        <v>8</v>
      </c>
      <c r="B10" s="114"/>
      <c r="C10" s="114"/>
      <c r="D10" s="115"/>
      <c r="E10" s="12">
        <f>E8</f>
        <v>999600</v>
      </c>
      <c r="F10" s="12"/>
      <c r="G10" s="12"/>
      <c r="H10" s="12"/>
      <c r="I10" s="12"/>
      <c r="J10" s="13"/>
    </row>
    <row r="11" spans="1:14">
      <c r="D11" s="2" t="s">
        <v>9</v>
      </c>
    </row>
    <row r="15" spans="1:14">
      <c r="H15" s="4" t="s">
        <v>9</v>
      </c>
    </row>
  </sheetData>
  <mergeCells count="11">
    <mergeCell ref="J6:J7"/>
    <mergeCell ref="A10:D10"/>
    <mergeCell ref="F6:I6"/>
    <mergeCell ref="A2:J2"/>
    <mergeCell ref="A3:J3"/>
    <mergeCell ref="A4:J4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6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topLeftCell="A4" zoomScaleNormal="100" workbookViewId="0">
      <selection activeCell="F9" sqref="F9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19.5703125" style="4" bestFit="1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264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256</v>
      </c>
      <c r="C8" s="17"/>
      <c r="D8" s="5"/>
      <c r="E8" s="6">
        <f>SUM(E9)</f>
        <v>930700</v>
      </c>
      <c r="F8" s="6"/>
      <c r="G8" s="6"/>
      <c r="H8" s="6"/>
      <c r="I8" s="6"/>
      <c r="J8" s="5"/>
    </row>
    <row r="9" spans="1:13" ht="44.25" customHeight="1">
      <c r="A9" s="7">
        <v>1</v>
      </c>
      <c r="B9" s="8" t="s">
        <v>262</v>
      </c>
      <c r="C9" s="16" t="s">
        <v>263</v>
      </c>
      <c r="D9" s="9">
        <v>1</v>
      </c>
      <c r="E9" s="10">
        <v>930700</v>
      </c>
      <c r="F9" s="45" t="s">
        <v>290</v>
      </c>
      <c r="G9" s="10" t="s">
        <v>337</v>
      </c>
      <c r="H9" s="10"/>
      <c r="I9" s="45" t="s">
        <v>290</v>
      </c>
      <c r="J9" s="11"/>
    </row>
    <row r="10" spans="1:13">
      <c r="A10" s="113" t="s">
        <v>8</v>
      </c>
      <c r="B10" s="114"/>
      <c r="C10" s="114"/>
      <c r="D10" s="115"/>
      <c r="E10" s="12">
        <f>E8</f>
        <v>930700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L12" s="1" t="s">
        <v>9</v>
      </c>
    </row>
    <row r="13" spans="1:13">
      <c r="J13" s="3" t="s">
        <v>9</v>
      </c>
    </row>
  </sheetData>
  <mergeCells count="11">
    <mergeCell ref="J6:J7"/>
    <mergeCell ref="A2:J2"/>
    <mergeCell ref="A3:J3"/>
    <mergeCell ref="A4:J4"/>
    <mergeCell ref="F6:I6"/>
    <mergeCell ref="E6:E7"/>
    <mergeCell ref="A10:D10"/>
    <mergeCell ref="A6:A7"/>
    <mergeCell ref="B6:B7"/>
    <mergeCell ref="C6:C7"/>
    <mergeCell ref="D6:D7"/>
  </mergeCells>
  <pageMargins left="0.25" right="0.25" top="0.75" bottom="0.75" header="0.3" footer="0.3"/>
  <pageSetup paperSize="9" scale="6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8"/>
  <sheetViews>
    <sheetView topLeftCell="A10" zoomScaleNormal="100" workbookViewId="0">
      <selection activeCell="G10" sqref="G10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6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76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107</v>
      </c>
      <c r="C8" s="17"/>
      <c r="D8" s="5"/>
      <c r="E8" s="6">
        <f>SUM(E9:E12)</f>
        <v>537800</v>
      </c>
      <c r="F8" s="6"/>
      <c r="G8" s="6"/>
      <c r="H8" s="6"/>
      <c r="I8" s="6"/>
      <c r="J8" s="5"/>
    </row>
    <row r="9" spans="1:13" ht="72">
      <c r="A9" s="7">
        <v>1</v>
      </c>
      <c r="B9" s="8" t="s">
        <v>72</v>
      </c>
      <c r="C9" s="16" t="s">
        <v>77</v>
      </c>
      <c r="D9" s="9">
        <v>5</v>
      </c>
      <c r="E9" s="10">
        <f>10000*5</f>
        <v>50000</v>
      </c>
      <c r="F9" s="45" t="s">
        <v>290</v>
      </c>
      <c r="G9" s="47" t="s">
        <v>339</v>
      </c>
      <c r="H9" s="10"/>
      <c r="I9" s="10"/>
      <c r="J9" s="11"/>
    </row>
    <row r="10" spans="1:13" ht="72">
      <c r="A10" s="7">
        <v>2</v>
      </c>
      <c r="B10" s="8" t="s">
        <v>79</v>
      </c>
      <c r="C10" s="16" t="s">
        <v>77</v>
      </c>
      <c r="D10" s="9">
        <v>2</v>
      </c>
      <c r="E10" s="10">
        <f>8900*2</f>
        <v>17800</v>
      </c>
      <c r="F10" s="45" t="s">
        <v>290</v>
      </c>
      <c r="G10" s="47" t="s">
        <v>339</v>
      </c>
      <c r="H10" s="10"/>
      <c r="I10" s="10"/>
      <c r="J10" s="11"/>
    </row>
    <row r="11" spans="1:13" ht="72">
      <c r="A11" s="7">
        <v>3</v>
      </c>
      <c r="B11" s="8" t="s">
        <v>80</v>
      </c>
      <c r="C11" s="16" t="s">
        <v>77</v>
      </c>
      <c r="D11" s="9">
        <v>2</v>
      </c>
      <c r="E11" s="10">
        <f>15000*2</f>
        <v>30000</v>
      </c>
      <c r="F11" s="45" t="s">
        <v>290</v>
      </c>
      <c r="G11" s="47" t="s">
        <v>339</v>
      </c>
      <c r="H11" s="10"/>
      <c r="I11" s="10"/>
      <c r="J11" s="11"/>
      <c r="L11" s="1" t="s">
        <v>9</v>
      </c>
    </row>
    <row r="12" spans="1:13" ht="72">
      <c r="A12" s="7">
        <v>4</v>
      </c>
      <c r="B12" s="8" t="s">
        <v>82</v>
      </c>
      <c r="C12" s="16" t="s">
        <v>77</v>
      </c>
      <c r="D12" s="9">
        <v>20</v>
      </c>
      <c r="E12" s="10">
        <f>22000*20</f>
        <v>440000</v>
      </c>
      <c r="F12" s="45" t="s">
        <v>290</v>
      </c>
      <c r="G12" s="47" t="s">
        <v>339</v>
      </c>
      <c r="H12" s="10"/>
      <c r="I12" s="10"/>
      <c r="J12" s="11"/>
    </row>
    <row r="13" spans="1:13" ht="72">
      <c r="A13" s="7">
        <v>5</v>
      </c>
      <c r="B13" s="8" t="s">
        <v>338</v>
      </c>
      <c r="C13" s="16" t="s">
        <v>77</v>
      </c>
      <c r="D13" s="9">
        <v>11</v>
      </c>
      <c r="E13" s="10">
        <f>2600*11</f>
        <v>28600</v>
      </c>
      <c r="F13" s="45" t="s">
        <v>290</v>
      </c>
      <c r="G13" s="47" t="s">
        <v>339</v>
      </c>
      <c r="H13" s="10"/>
      <c r="I13" s="10"/>
      <c r="J13" s="11"/>
    </row>
    <row r="14" spans="1:13">
      <c r="A14" s="113" t="s">
        <v>8</v>
      </c>
      <c r="B14" s="114"/>
      <c r="C14" s="114"/>
      <c r="D14" s="115"/>
      <c r="E14" s="12">
        <f>E8</f>
        <v>537800</v>
      </c>
      <c r="F14" s="12"/>
      <c r="G14" s="12"/>
      <c r="H14" s="12"/>
      <c r="I14" s="12"/>
      <c r="J14" s="13"/>
    </row>
    <row r="15" spans="1:13">
      <c r="D15" s="2" t="s">
        <v>9</v>
      </c>
      <c r="G15" s="4" t="s">
        <v>9</v>
      </c>
      <c r="M15" s="1" t="s">
        <v>9</v>
      </c>
    </row>
    <row r="16" spans="1:13">
      <c r="L16" s="1" t="s">
        <v>9</v>
      </c>
    </row>
    <row r="18" spans="7:7">
      <c r="G18" s="4" t="s">
        <v>9</v>
      </c>
    </row>
  </sheetData>
  <mergeCells count="11">
    <mergeCell ref="A2:J2"/>
    <mergeCell ref="A3:J3"/>
    <mergeCell ref="A4:J4"/>
    <mergeCell ref="F6:I6"/>
    <mergeCell ref="A14:D14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  <colBreaks count="1" manualBreakCount="1">
    <brk id="1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zoomScaleNormal="100" workbookViewId="0">
      <selection activeCell="G12" sqref="G12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9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168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109</v>
      </c>
      <c r="C8" s="17"/>
      <c r="D8" s="5"/>
      <c r="E8" s="6">
        <f>SUM(E9)</f>
        <v>86000</v>
      </c>
      <c r="F8" s="6"/>
      <c r="G8" s="6"/>
      <c r="H8" s="6"/>
      <c r="I8" s="6"/>
      <c r="J8" s="5"/>
    </row>
    <row r="9" spans="1:13" ht="48">
      <c r="A9" s="7">
        <v>1</v>
      </c>
      <c r="B9" s="8" t="s">
        <v>169</v>
      </c>
      <c r="C9" s="16" t="s">
        <v>170</v>
      </c>
      <c r="D9" s="9">
        <v>2</v>
      </c>
      <c r="E9" s="10">
        <f>43000*2</f>
        <v>86000</v>
      </c>
      <c r="F9" s="45" t="s">
        <v>290</v>
      </c>
      <c r="G9" s="47" t="s">
        <v>294</v>
      </c>
      <c r="H9" s="10"/>
      <c r="I9" s="10"/>
      <c r="J9" s="11"/>
    </row>
    <row r="10" spans="1:13">
      <c r="A10" s="113" t="s">
        <v>8</v>
      </c>
      <c r="B10" s="114"/>
      <c r="C10" s="114"/>
      <c r="D10" s="115"/>
      <c r="E10" s="12">
        <f>E8</f>
        <v>86000</v>
      </c>
      <c r="F10" s="12"/>
      <c r="G10" s="12"/>
      <c r="H10" s="12"/>
      <c r="I10" s="12"/>
      <c r="J10" s="13"/>
    </row>
    <row r="11" spans="1:13">
      <c r="A11" s="3" t="s">
        <v>340</v>
      </c>
      <c r="D11" s="2" t="s">
        <v>9</v>
      </c>
      <c r="M11" s="1" t="s">
        <v>9</v>
      </c>
    </row>
    <row r="12" spans="1:13">
      <c r="L12" s="1" t="s">
        <v>9</v>
      </c>
    </row>
    <row r="13" spans="1:13">
      <c r="I13" s="4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zoomScale="85" zoomScaleNormal="85" workbookViewId="0">
      <selection activeCell="M9" sqref="M9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19.28515625" style="4" bestFit="1" customWidth="1"/>
    <col min="8" max="9" width="13.42578125" style="4" customWidth="1"/>
    <col min="10" max="10" width="21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"/>
      <c r="H2" s="1"/>
      <c r="I2" s="1"/>
      <c r="J2" s="1"/>
    </row>
    <row r="3" spans="1:13">
      <c r="A3" s="112" t="s">
        <v>1</v>
      </c>
      <c r="B3" s="112"/>
      <c r="C3" s="112"/>
      <c r="D3" s="112"/>
      <c r="E3" s="112"/>
      <c r="F3" s="112"/>
      <c r="G3" s="1"/>
      <c r="H3" s="1"/>
      <c r="I3" s="1"/>
      <c r="J3" s="1"/>
    </row>
    <row r="4" spans="1:13">
      <c r="A4" s="112" t="s">
        <v>38</v>
      </c>
      <c r="B4" s="112"/>
      <c r="C4" s="112"/>
      <c r="D4" s="112"/>
      <c r="E4" s="112"/>
      <c r="F4" s="112"/>
      <c r="G4" s="1"/>
      <c r="H4" s="1"/>
      <c r="I4" s="1"/>
      <c r="J4" s="1"/>
    </row>
    <row r="5" spans="1:13"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47</v>
      </c>
      <c r="H7" s="37" t="s">
        <v>48</v>
      </c>
      <c r="I7" s="37" t="s">
        <v>49</v>
      </c>
      <c r="J7" s="120"/>
    </row>
    <row r="8" spans="1:13">
      <c r="A8" s="5"/>
      <c r="B8" s="20" t="s">
        <v>231</v>
      </c>
      <c r="C8" s="17"/>
      <c r="D8" s="5"/>
      <c r="E8" s="6">
        <f>SUM(E9)</f>
        <v>497700</v>
      </c>
      <c r="F8" s="37"/>
      <c r="G8" s="37"/>
      <c r="H8" s="37"/>
      <c r="I8" s="37"/>
      <c r="J8" s="41"/>
    </row>
    <row r="9" spans="1:13" ht="96">
      <c r="A9" s="7">
        <v>1</v>
      </c>
      <c r="B9" s="8" t="s">
        <v>36</v>
      </c>
      <c r="C9" s="14" t="s">
        <v>37</v>
      </c>
      <c r="D9" s="9">
        <v>1</v>
      </c>
      <c r="E9" s="10">
        <v>497700</v>
      </c>
      <c r="F9" s="55" t="s">
        <v>342</v>
      </c>
      <c r="G9" s="25" t="s">
        <v>309</v>
      </c>
      <c r="H9" s="22"/>
      <c r="I9" s="25" t="s">
        <v>290</v>
      </c>
      <c r="J9" s="23" t="s">
        <v>341</v>
      </c>
      <c r="M9" s="1" t="s">
        <v>9</v>
      </c>
    </row>
    <row r="10" spans="1:13" s="35" customFormat="1">
      <c r="A10" s="5"/>
      <c r="B10" s="31" t="s">
        <v>265</v>
      </c>
      <c r="C10" s="42"/>
      <c r="D10" s="39"/>
      <c r="E10" s="40">
        <f>SUM(E11)</f>
        <v>463000</v>
      </c>
      <c r="F10" s="6"/>
      <c r="G10" s="6"/>
      <c r="H10" s="6"/>
      <c r="I10" s="6"/>
      <c r="J10" s="5"/>
      <c r="L10" s="35" t="s">
        <v>9</v>
      </c>
    </row>
    <row r="11" spans="1:13" ht="72">
      <c r="A11" s="7">
        <v>2</v>
      </c>
      <c r="B11" s="8" t="s">
        <v>266</v>
      </c>
      <c r="C11" s="14" t="s">
        <v>37</v>
      </c>
      <c r="D11" s="9">
        <v>9</v>
      </c>
      <c r="E11" s="10">
        <v>463000</v>
      </c>
      <c r="F11" s="25" t="s">
        <v>290</v>
      </c>
      <c r="G11" s="25" t="s">
        <v>309</v>
      </c>
      <c r="H11" s="22"/>
      <c r="I11" s="22"/>
      <c r="J11" s="21"/>
    </row>
    <row r="12" spans="1:13">
      <c r="A12" s="113" t="s">
        <v>8</v>
      </c>
      <c r="B12" s="114"/>
      <c r="C12" s="114"/>
      <c r="D12" s="115"/>
      <c r="E12" s="12">
        <f>E8+E10</f>
        <v>960700</v>
      </c>
      <c r="F12" s="12"/>
      <c r="G12" s="12"/>
      <c r="H12" s="12"/>
      <c r="I12" s="12"/>
      <c r="J12" s="13"/>
    </row>
    <row r="13" spans="1:13">
      <c r="C13" s="2" t="s">
        <v>9</v>
      </c>
      <c r="D13" s="2" t="s">
        <v>9</v>
      </c>
    </row>
    <row r="15" spans="1:13">
      <c r="I15" s="4" t="s">
        <v>9</v>
      </c>
    </row>
  </sheetData>
  <mergeCells count="11">
    <mergeCell ref="J6:J7"/>
    <mergeCell ref="A2:F2"/>
    <mergeCell ref="A3:F3"/>
    <mergeCell ref="A4:F4"/>
    <mergeCell ref="A12:D12"/>
    <mergeCell ref="F6:I6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1"/>
  <sheetViews>
    <sheetView topLeftCell="A3" zoomScaleNormal="100" workbookViewId="0">
      <selection activeCell="G9" sqref="G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13.42578125" style="4" customWidth="1"/>
    <col min="8" max="8" width="20.5703125" style="4" bestFit="1" customWidth="1"/>
    <col min="9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258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23"/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24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109</v>
      </c>
      <c r="C8" s="32"/>
      <c r="D8" s="18"/>
      <c r="E8" s="19">
        <f>SUM(E9)</f>
        <v>1670000</v>
      </c>
      <c r="F8" s="6"/>
      <c r="G8" s="6"/>
      <c r="H8" s="6"/>
      <c r="I8" s="6"/>
      <c r="J8" s="5"/>
    </row>
    <row r="9" spans="1:13" ht="72">
      <c r="A9" s="7">
        <v>1</v>
      </c>
      <c r="B9" s="8" t="s">
        <v>343</v>
      </c>
      <c r="C9" s="16" t="s">
        <v>259</v>
      </c>
      <c r="D9" s="9">
        <v>1</v>
      </c>
      <c r="E9" s="10">
        <v>1670000</v>
      </c>
      <c r="F9" s="45" t="s">
        <v>290</v>
      </c>
      <c r="G9" s="10" t="s">
        <v>293</v>
      </c>
      <c r="H9" s="47" t="s">
        <v>345</v>
      </c>
      <c r="I9" s="10" t="s">
        <v>293</v>
      </c>
      <c r="J9" s="23" t="s">
        <v>344</v>
      </c>
    </row>
    <row r="10" spans="1:13">
      <c r="A10" s="113" t="s">
        <v>8</v>
      </c>
      <c r="B10" s="114"/>
      <c r="C10" s="114"/>
      <c r="D10" s="115"/>
      <c r="E10" s="12">
        <f>E8</f>
        <v>1670000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</sheetData>
  <mergeCells count="10">
    <mergeCell ref="A10:D10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opLeftCell="A6" zoomScale="85" zoomScaleNormal="85" workbookViewId="0">
      <selection activeCell="G16" sqref="G16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8.5703125" style="4" customWidth="1"/>
    <col min="8" max="9" width="13.42578125" style="4" customWidth="1"/>
    <col min="10" max="10" width="19.5703125" style="3" bestFit="1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41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23"/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24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5"/>
      <c r="B8" s="20" t="s">
        <v>228</v>
      </c>
      <c r="C8" s="17"/>
      <c r="D8" s="5"/>
      <c r="E8" s="6">
        <f>SUM(E9:E10)</f>
        <v>1575000</v>
      </c>
      <c r="F8" s="6"/>
      <c r="G8" s="6"/>
      <c r="H8" s="6"/>
      <c r="I8" s="6"/>
      <c r="J8" s="5"/>
      <c r="K8" s="1" t="s">
        <v>9</v>
      </c>
    </row>
    <row r="9" spans="1:13" ht="96">
      <c r="A9" s="7">
        <v>1</v>
      </c>
      <c r="B9" s="23" t="s">
        <v>232</v>
      </c>
      <c r="C9" s="24" t="s">
        <v>40</v>
      </c>
      <c r="D9" s="7">
        <v>1</v>
      </c>
      <c r="E9" s="25">
        <v>575000</v>
      </c>
      <c r="F9" s="25" t="s">
        <v>290</v>
      </c>
      <c r="G9" s="56" t="s">
        <v>346</v>
      </c>
      <c r="H9" s="22"/>
      <c r="I9" s="22"/>
      <c r="J9" s="23" t="s">
        <v>347</v>
      </c>
      <c r="M9" s="1" t="s">
        <v>9</v>
      </c>
    </row>
    <row r="10" spans="1:13" ht="96">
      <c r="A10" s="7">
        <v>2</v>
      </c>
      <c r="B10" s="23" t="s">
        <v>234</v>
      </c>
      <c r="C10" s="24" t="s">
        <v>40</v>
      </c>
      <c r="D10" s="7">
        <v>1</v>
      </c>
      <c r="E10" s="25">
        <v>1000000</v>
      </c>
      <c r="F10" s="25" t="s">
        <v>290</v>
      </c>
      <c r="G10" s="56" t="s">
        <v>348</v>
      </c>
      <c r="H10" s="22"/>
      <c r="I10" s="22"/>
      <c r="J10" s="23" t="s">
        <v>347</v>
      </c>
      <c r="L10" s="1" t="s">
        <v>9</v>
      </c>
    </row>
    <row r="11" spans="1:13">
      <c r="A11" s="5"/>
      <c r="B11" s="20" t="s">
        <v>231</v>
      </c>
      <c r="C11" s="17"/>
      <c r="D11" s="5"/>
      <c r="E11" s="6">
        <f>SUM(E12)</f>
        <v>60500</v>
      </c>
      <c r="F11" s="6"/>
      <c r="G11" s="6"/>
      <c r="H11" s="6"/>
      <c r="I11" s="6"/>
      <c r="J11" s="5"/>
    </row>
    <row r="12" spans="1:13" ht="72">
      <c r="A12" s="7">
        <v>3</v>
      </c>
      <c r="B12" s="8" t="s">
        <v>39</v>
      </c>
      <c r="C12" s="16" t="s">
        <v>40</v>
      </c>
      <c r="D12" s="9">
        <v>1</v>
      </c>
      <c r="E12" s="34">
        <v>60500</v>
      </c>
      <c r="F12" s="25" t="s">
        <v>342</v>
      </c>
      <c r="G12" s="10" t="s">
        <v>349</v>
      </c>
      <c r="H12" s="10"/>
      <c r="I12" s="25" t="s">
        <v>290</v>
      </c>
      <c r="J12" s="11"/>
      <c r="K12" s="1" t="s">
        <v>9</v>
      </c>
    </row>
    <row r="13" spans="1:13">
      <c r="A13" s="113" t="s">
        <v>8</v>
      </c>
      <c r="B13" s="114"/>
      <c r="C13" s="114"/>
      <c r="D13" s="115"/>
      <c r="E13" s="12">
        <f>E8+E11</f>
        <v>1635500</v>
      </c>
      <c r="F13" s="12"/>
      <c r="G13" s="12"/>
      <c r="H13" s="12"/>
      <c r="I13" s="12"/>
      <c r="J13" s="13"/>
    </row>
    <row r="14" spans="1:13">
      <c r="B14" s="3" t="s">
        <v>9</v>
      </c>
      <c r="C14" s="2" t="s">
        <v>9</v>
      </c>
      <c r="D14" s="2" t="s">
        <v>9</v>
      </c>
    </row>
  </sheetData>
  <mergeCells count="10">
    <mergeCell ref="A2:J2"/>
    <mergeCell ref="A3:J3"/>
    <mergeCell ref="A4:J4"/>
    <mergeCell ref="A13:D13"/>
    <mergeCell ref="F6:I6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6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4"/>
  <sheetViews>
    <sheetView topLeftCell="A7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153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23"/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24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231</v>
      </c>
      <c r="C8" s="32"/>
      <c r="D8" s="18"/>
      <c r="E8" s="19">
        <f>SUM(E9:E9)</f>
        <v>3049000</v>
      </c>
      <c r="F8" s="6"/>
      <c r="G8" s="6"/>
      <c r="H8" s="6"/>
      <c r="I8" s="6"/>
      <c r="J8" s="5"/>
    </row>
    <row r="9" spans="1:13" ht="96">
      <c r="A9" s="7">
        <v>1</v>
      </c>
      <c r="B9" s="8" t="s">
        <v>350</v>
      </c>
      <c r="C9" s="16" t="s">
        <v>152</v>
      </c>
      <c r="D9" s="9">
        <v>1</v>
      </c>
      <c r="E9" s="10">
        <v>3049000</v>
      </c>
      <c r="F9" s="10" t="s">
        <v>342</v>
      </c>
      <c r="G9" s="10" t="s">
        <v>293</v>
      </c>
      <c r="H9" s="45" t="s">
        <v>396</v>
      </c>
      <c r="I9" s="45" t="s">
        <v>290</v>
      </c>
      <c r="J9" s="11"/>
    </row>
    <row r="10" spans="1:13">
      <c r="A10" s="113" t="s">
        <v>8</v>
      </c>
      <c r="B10" s="114"/>
      <c r="C10" s="114"/>
      <c r="D10" s="115"/>
      <c r="E10" s="12">
        <f>E8</f>
        <v>3049000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4" spans="1:13">
      <c r="I14" s="4" t="s">
        <v>9</v>
      </c>
    </row>
  </sheetData>
  <mergeCells count="10">
    <mergeCell ref="A10:D10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1"/>
  <sheetViews>
    <sheetView topLeftCell="A5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26.285156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159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23"/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24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231</v>
      </c>
      <c r="C8" s="32"/>
      <c r="D8" s="18"/>
      <c r="E8" s="19"/>
      <c r="F8" s="6"/>
      <c r="G8" s="6"/>
      <c r="H8" s="6"/>
      <c r="I8" s="6"/>
      <c r="J8" s="5"/>
    </row>
    <row r="9" spans="1:13" ht="72">
      <c r="A9" s="7">
        <v>1</v>
      </c>
      <c r="B9" s="8" t="s">
        <v>351</v>
      </c>
      <c r="C9" s="16" t="s">
        <v>158</v>
      </c>
      <c r="D9" s="9">
        <v>1</v>
      </c>
      <c r="E9" s="10">
        <v>433000</v>
      </c>
      <c r="F9" s="10" t="s">
        <v>293</v>
      </c>
      <c r="G9" s="10" t="s">
        <v>293</v>
      </c>
      <c r="H9" s="45" t="s">
        <v>396</v>
      </c>
      <c r="I9" s="10"/>
      <c r="J9" s="23" t="s">
        <v>352</v>
      </c>
    </row>
    <row r="10" spans="1:13">
      <c r="A10" s="113" t="s">
        <v>8</v>
      </c>
      <c r="B10" s="114"/>
      <c r="C10" s="114"/>
      <c r="D10" s="115"/>
      <c r="E10" s="12">
        <f>SUM(E8:E9)</f>
        <v>433000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</sheetData>
  <mergeCells count="10">
    <mergeCell ref="A10:D10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9"/>
  <sheetViews>
    <sheetView topLeftCell="A4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5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52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2">
      <c r="A8" s="5"/>
      <c r="B8" s="20" t="s">
        <v>107</v>
      </c>
      <c r="C8" s="17"/>
      <c r="D8" s="5"/>
      <c r="E8" s="6">
        <f>SUM(E9:E12)</f>
        <v>262900</v>
      </c>
      <c r="F8" s="6"/>
      <c r="G8" s="6"/>
      <c r="H8" s="6"/>
      <c r="I8" s="6"/>
      <c r="J8" s="5"/>
    </row>
    <row r="9" spans="1:12" ht="48">
      <c r="A9" s="7">
        <v>1</v>
      </c>
      <c r="B9" s="50" t="s">
        <v>54</v>
      </c>
      <c r="C9" s="51" t="s">
        <v>53</v>
      </c>
      <c r="D9" s="52">
        <v>6</v>
      </c>
      <c r="E9" s="53">
        <f>22000*6</f>
        <v>132000</v>
      </c>
      <c r="F9" s="53" t="s">
        <v>299</v>
      </c>
      <c r="G9" s="10"/>
      <c r="H9" s="10"/>
      <c r="I9" s="10"/>
      <c r="J9" s="11"/>
      <c r="L9" s="1" t="s">
        <v>9</v>
      </c>
    </row>
    <row r="10" spans="1:12" ht="96">
      <c r="A10" s="7">
        <v>2</v>
      </c>
      <c r="B10" s="8" t="s">
        <v>68</v>
      </c>
      <c r="C10" s="16" t="s">
        <v>53</v>
      </c>
      <c r="D10" s="9">
        <v>6</v>
      </c>
      <c r="E10" s="10">
        <f>17000*6</f>
        <v>102000</v>
      </c>
      <c r="F10" s="45" t="s">
        <v>290</v>
      </c>
      <c r="G10" s="47" t="s">
        <v>291</v>
      </c>
      <c r="H10" s="10"/>
      <c r="I10" s="45" t="s">
        <v>290</v>
      </c>
      <c r="J10" s="11"/>
    </row>
    <row r="11" spans="1:12" ht="96">
      <c r="A11" s="7">
        <v>3</v>
      </c>
      <c r="B11" s="8" t="s">
        <v>72</v>
      </c>
      <c r="C11" s="16" t="s">
        <v>53</v>
      </c>
      <c r="D11" s="9">
        <v>2</v>
      </c>
      <c r="E11" s="10">
        <f>10000*2</f>
        <v>20000</v>
      </c>
      <c r="F11" s="45" t="s">
        <v>290</v>
      </c>
      <c r="G11" s="47" t="s">
        <v>291</v>
      </c>
      <c r="H11" s="10"/>
      <c r="I11" s="10"/>
      <c r="J11" s="11"/>
    </row>
    <row r="12" spans="1:12" ht="96">
      <c r="A12" s="7">
        <v>4</v>
      </c>
      <c r="B12" s="8" t="s">
        <v>79</v>
      </c>
      <c r="C12" s="16" t="s">
        <v>53</v>
      </c>
      <c r="D12" s="9">
        <v>1</v>
      </c>
      <c r="E12" s="10">
        <f>8900*1</f>
        <v>8900</v>
      </c>
      <c r="F12" s="45" t="s">
        <v>290</v>
      </c>
      <c r="G12" s="47" t="s">
        <v>291</v>
      </c>
      <c r="H12" s="10"/>
      <c r="I12" s="10"/>
      <c r="J12" s="11"/>
    </row>
    <row r="13" spans="1:12">
      <c r="A13" s="5"/>
      <c r="B13" s="20" t="s">
        <v>109</v>
      </c>
      <c r="C13" s="17"/>
      <c r="D13" s="5"/>
      <c r="E13" s="6">
        <f>SUM(E14:E16)</f>
        <v>43900</v>
      </c>
      <c r="F13" s="6"/>
      <c r="G13" s="6"/>
      <c r="H13" s="6"/>
      <c r="I13" s="6"/>
      <c r="J13" s="5"/>
    </row>
    <row r="14" spans="1:12" ht="48">
      <c r="A14" s="7">
        <v>5</v>
      </c>
      <c r="B14" s="8" t="s">
        <v>114</v>
      </c>
      <c r="C14" s="16" t="s">
        <v>53</v>
      </c>
      <c r="D14" s="9">
        <v>1</v>
      </c>
      <c r="E14" s="10">
        <f>19300*1</f>
        <v>19300</v>
      </c>
      <c r="F14" s="45" t="s">
        <v>290</v>
      </c>
      <c r="G14" s="47" t="s">
        <v>294</v>
      </c>
      <c r="H14" s="10"/>
      <c r="I14" s="10"/>
      <c r="J14" s="11"/>
    </row>
    <row r="15" spans="1:12" ht="48">
      <c r="A15" s="7">
        <v>6</v>
      </c>
      <c r="B15" s="8" t="s">
        <v>115</v>
      </c>
      <c r="C15" s="16" t="s">
        <v>53</v>
      </c>
      <c r="D15" s="9">
        <v>1</v>
      </c>
      <c r="E15" s="10">
        <f>2400*1</f>
        <v>2400</v>
      </c>
      <c r="F15" s="45" t="s">
        <v>290</v>
      </c>
      <c r="G15" s="10" t="s">
        <v>300</v>
      </c>
      <c r="H15" s="10"/>
      <c r="I15" s="10"/>
      <c r="J15" s="11"/>
      <c r="K15" s="1" t="s">
        <v>9</v>
      </c>
    </row>
    <row r="16" spans="1:12" ht="72">
      <c r="A16" s="7">
        <v>7</v>
      </c>
      <c r="B16" s="8" t="s">
        <v>197</v>
      </c>
      <c r="C16" s="16" t="s">
        <v>53</v>
      </c>
      <c r="D16" s="9">
        <v>6</v>
      </c>
      <c r="E16" s="10">
        <f>3700*6</f>
        <v>22200</v>
      </c>
      <c r="F16" s="45" t="s">
        <v>290</v>
      </c>
      <c r="G16" s="47" t="s">
        <v>301</v>
      </c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E8+E13</f>
        <v>306800</v>
      </c>
      <c r="F17" s="12"/>
      <c r="G17" s="12"/>
      <c r="H17" s="12"/>
      <c r="I17" s="12"/>
      <c r="J17" s="13"/>
    </row>
    <row r="18" spans="1:13">
      <c r="D18" s="2" t="s">
        <v>9</v>
      </c>
      <c r="M18" s="1" t="s">
        <v>9</v>
      </c>
    </row>
    <row r="19" spans="1:13">
      <c r="L19" s="1" t="s">
        <v>9</v>
      </c>
    </row>
  </sheetData>
  <mergeCells count="11">
    <mergeCell ref="A2:J2"/>
    <mergeCell ref="A3:J3"/>
    <mergeCell ref="A4:J4"/>
    <mergeCell ref="F6:I6"/>
    <mergeCell ref="A17:D17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opLeftCell="A4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0.14062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30.710937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246</v>
      </c>
      <c r="C8" s="17"/>
      <c r="D8" s="5"/>
      <c r="E8" s="6"/>
      <c r="F8" s="6"/>
      <c r="G8" s="6"/>
      <c r="H8" s="6"/>
      <c r="I8" s="6"/>
      <c r="J8" s="5"/>
    </row>
    <row r="9" spans="1:13" ht="96">
      <c r="A9" s="7">
        <v>1</v>
      </c>
      <c r="B9" s="8" t="s">
        <v>18</v>
      </c>
      <c r="C9" s="16" t="s">
        <v>19</v>
      </c>
      <c r="D9" s="9">
        <v>1</v>
      </c>
      <c r="E9" s="10">
        <v>706100</v>
      </c>
      <c r="F9" s="22" t="s">
        <v>293</v>
      </c>
      <c r="G9" s="22" t="s">
        <v>293</v>
      </c>
      <c r="H9" s="25" t="s">
        <v>396</v>
      </c>
      <c r="I9" s="22" t="s">
        <v>290</v>
      </c>
      <c r="J9" s="23" t="s">
        <v>353</v>
      </c>
      <c r="L9" s="1" t="s">
        <v>9</v>
      </c>
    </row>
    <row r="10" spans="1:13">
      <c r="A10" s="113" t="s">
        <v>8</v>
      </c>
      <c r="B10" s="114"/>
      <c r="C10" s="114"/>
      <c r="D10" s="115"/>
      <c r="E10" s="12">
        <f>SUM(E9:E9)</f>
        <v>706100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</sheetData>
  <mergeCells count="11">
    <mergeCell ref="A2:J2"/>
    <mergeCell ref="A3:J3"/>
    <mergeCell ref="A4:J4"/>
    <mergeCell ref="A10:D10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2" orientation="portrait" r:id="rId1"/>
  <colBreaks count="1" manualBreakCount="1">
    <brk id="10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048576"/>
  <sheetViews>
    <sheetView topLeftCell="A10" zoomScale="85" zoomScaleNormal="85" workbookViewId="0">
      <selection activeCell="C22" sqref="C22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46.140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42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2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2">
      <c r="A8" s="18"/>
      <c r="B8" s="33" t="s">
        <v>107</v>
      </c>
      <c r="C8" s="32"/>
      <c r="D8" s="18"/>
      <c r="E8" s="19">
        <f>SUM(E9:E12)</f>
        <v>504500</v>
      </c>
      <c r="F8" s="6"/>
      <c r="G8" s="6"/>
      <c r="H8" s="6"/>
      <c r="I8" s="6"/>
      <c r="J8" s="5"/>
    </row>
    <row r="9" spans="1:12" ht="96">
      <c r="A9" s="7">
        <v>1</v>
      </c>
      <c r="B9" s="8" t="s">
        <v>43</v>
      </c>
      <c r="C9" s="16" t="s">
        <v>44</v>
      </c>
      <c r="D9" s="9">
        <v>1</v>
      </c>
      <c r="E9" s="10">
        <v>350000</v>
      </c>
      <c r="F9" s="45" t="s">
        <v>290</v>
      </c>
      <c r="G9" s="47" t="s">
        <v>354</v>
      </c>
      <c r="H9" s="10"/>
      <c r="I9" s="10"/>
      <c r="J9" s="11"/>
      <c r="L9" s="1" t="s">
        <v>9</v>
      </c>
    </row>
    <row r="10" spans="1:12" ht="96">
      <c r="A10" s="7">
        <v>2</v>
      </c>
      <c r="B10" s="8" t="s">
        <v>69</v>
      </c>
      <c r="C10" s="16" t="s">
        <v>44</v>
      </c>
      <c r="D10" s="9">
        <v>5</v>
      </c>
      <c r="E10" s="10">
        <f>17000*5</f>
        <v>85000</v>
      </c>
      <c r="F10" s="45" t="s">
        <v>290</v>
      </c>
      <c r="G10" s="47" t="s">
        <v>354</v>
      </c>
      <c r="H10" s="10"/>
      <c r="I10" s="10"/>
      <c r="J10" s="11"/>
    </row>
    <row r="11" spans="1:12" ht="96">
      <c r="A11" s="7">
        <v>3</v>
      </c>
      <c r="B11" s="8" t="s">
        <v>91</v>
      </c>
      <c r="C11" s="16" t="s">
        <v>44</v>
      </c>
      <c r="D11" s="9">
        <v>5</v>
      </c>
      <c r="E11" s="10">
        <f>4300*5</f>
        <v>21500</v>
      </c>
      <c r="F11" s="45" t="s">
        <v>290</v>
      </c>
      <c r="G11" s="47" t="s">
        <v>354</v>
      </c>
      <c r="H11" s="10"/>
      <c r="I11" s="10"/>
      <c r="J11" s="11"/>
    </row>
    <row r="12" spans="1:12" ht="96">
      <c r="A12" s="7">
        <v>4</v>
      </c>
      <c r="B12" s="8" t="s">
        <v>92</v>
      </c>
      <c r="C12" s="16" t="s">
        <v>44</v>
      </c>
      <c r="D12" s="9">
        <v>3</v>
      </c>
      <c r="E12" s="10">
        <f>16000*3</f>
        <v>48000</v>
      </c>
      <c r="F12" s="45" t="s">
        <v>290</v>
      </c>
      <c r="G12" s="47" t="s">
        <v>354</v>
      </c>
      <c r="H12" s="10"/>
      <c r="I12" s="10"/>
      <c r="J12" s="11"/>
    </row>
    <row r="13" spans="1:12">
      <c r="A13" s="18"/>
      <c r="B13" s="33" t="s">
        <v>109</v>
      </c>
      <c r="C13" s="32"/>
      <c r="D13" s="18"/>
      <c r="E13" s="19">
        <f>SUM(E14:E15)</f>
        <v>867800</v>
      </c>
      <c r="F13" s="6"/>
      <c r="G13" s="6"/>
      <c r="H13" s="6"/>
      <c r="I13" s="6"/>
      <c r="J13" s="5"/>
    </row>
    <row r="14" spans="1:12" ht="48">
      <c r="A14" s="7">
        <v>6</v>
      </c>
      <c r="B14" s="8" t="s">
        <v>130</v>
      </c>
      <c r="C14" s="16" t="s">
        <v>44</v>
      </c>
      <c r="D14" s="9">
        <v>20</v>
      </c>
      <c r="E14" s="10">
        <f>40900*20</f>
        <v>818000</v>
      </c>
      <c r="F14" s="45" t="s">
        <v>290</v>
      </c>
      <c r="G14" s="47" t="s">
        <v>294</v>
      </c>
      <c r="H14" s="10"/>
      <c r="I14" s="10"/>
      <c r="J14" s="11"/>
    </row>
    <row r="15" spans="1:12" ht="48">
      <c r="A15" s="7">
        <v>7</v>
      </c>
      <c r="B15" s="8" t="s">
        <v>137</v>
      </c>
      <c r="C15" s="16" t="s">
        <v>44</v>
      </c>
      <c r="D15" s="9">
        <v>2</v>
      </c>
      <c r="E15" s="10">
        <f>24900*2</f>
        <v>49800</v>
      </c>
      <c r="F15" s="45" t="s">
        <v>290</v>
      </c>
      <c r="G15" s="47" t="s">
        <v>294</v>
      </c>
      <c r="H15" s="10"/>
      <c r="I15" s="10"/>
      <c r="J15" s="11"/>
      <c r="K15" s="1" t="s">
        <v>9</v>
      </c>
    </row>
    <row r="16" spans="1:12">
      <c r="A16" s="18"/>
      <c r="B16" s="33" t="s">
        <v>265</v>
      </c>
      <c r="C16" s="32"/>
      <c r="D16" s="18"/>
      <c r="E16" s="19">
        <f>SUM(E17)</f>
        <v>380000</v>
      </c>
      <c r="F16" s="6"/>
      <c r="G16" s="6"/>
      <c r="H16" s="6"/>
      <c r="I16" s="6"/>
      <c r="J16" s="5"/>
    </row>
    <row r="17" spans="1:13" ht="96">
      <c r="A17" s="7">
        <v>8</v>
      </c>
      <c r="B17" s="8" t="s">
        <v>355</v>
      </c>
      <c r="C17" s="16" t="s">
        <v>44</v>
      </c>
      <c r="D17" s="9">
        <v>1</v>
      </c>
      <c r="E17" s="10">
        <v>380000</v>
      </c>
      <c r="F17" s="10" t="s">
        <v>356</v>
      </c>
      <c r="G17" s="10" t="s">
        <v>323</v>
      </c>
      <c r="H17" s="10"/>
      <c r="I17" s="10"/>
      <c r="J17" s="11"/>
    </row>
    <row r="18" spans="1:13">
      <c r="A18" s="113" t="s">
        <v>8</v>
      </c>
      <c r="B18" s="114"/>
      <c r="C18" s="114"/>
      <c r="D18" s="115"/>
      <c r="E18" s="12">
        <f>E8+E13+E16</f>
        <v>1752300</v>
      </c>
      <c r="F18" s="12"/>
      <c r="G18" s="12"/>
      <c r="H18" s="12"/>
      <c r="I18" s="12"/>
      <c r="J18" s="13"/>
    </row>
    <row r="19" spans="1:13">
      <c r="D19" s="2" t="s">
        <v>9</v>
      </c>
      <c r="M19" s="1" t="s">
        <v>9</v>
      </c>
    </row>
    <row r="1048576" spans="6:6">
      <c r="F1048576" s="45"/>
    </row>
  </sheetData>
  <mergeCells count="10">
    <mergeCell ref="A2:J2"/>
    <mergeCell ref="A3:J3"/>
    <mergeCell ref="A4:J4"/>
    <mergeCell ref="A18:D18"/>
    <mergeCell ref="F6:I6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1"/>
  <sheetViews>
    <sheetView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280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109</v>
      </c>
      <c r="C8" s="32"/>
      <c r="D8" s="18"/>
      <c r="E8" s="19"/>
      <c r="F8" s="6"/>
      <c r="G8" s="6"/>
      <c r="H8" s="6"/>
      <c r="I8" s="6"/>
      <c r="J8" s="5"/>
    </row>
    <row r="9" spans="1:13" ht="48">
      <c r="A9" s="7">
        <v>1</v>
      </c>
      <c r="B9" s="8" t="s">
        <v>147</v>
      </c>
      <c r="C9" s="16" t="s">
        <v>148</v>
      </c>
      <c r="D9" s="9">
        <v>2</v>
      </c>
      <c r="E9" s="10">
        <f>27200*2</f>
        <v>54400</v>
      </c>
      <c r="F9" s="57" t="s">
        <v>357</v>
      </c>
      <c r="G9" s="10"/>
      <c r="H9" s="10"/>
      <c r="I9" s="10"/>
      <c r="J9" s="11"/>
    </row>
    <row r="10" spans="1:13">
      <c r="A10" s="113" t="s">
        <v>8</v>
      </c>
      <c r="B10" s="114"/>
      <c r="C10" s="114"/>
      <c r="D10" s="115"/>
      <c r="E10" s="12">
        <f>SUM(E9)</f>
        <v>54400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</sheetData>
  <mergeCells count="10">
    <mergeCell ref="A10:D10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topLeftCell="A4" zoomScaleNormal="100" workbookViewId="0">
      <selection activeCell="G15" sqref="G15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188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109</v>
      </c>
      <c r="C8" s="32"/>
      <c r="D8" s="18"/>
      <c r="E8" s="19"/>
      <c r="F8" s="6"/>
      <c r="G8" s="6"/>
      <c r="H8" s="6"/>
      <c r="I8" s="6"/>
      <c r="J8" s="5"/>
    </row>
    <row r="9" spans="1:13" ht="48">
      <c r="A9" s="7">
        <v>1</v>
      </c>
      <c r="B9" s="8" t="s">
        <v>187</v>
      </c>
      <c r="C9" s="16" t="s">
        <v>189</v>
      </c>
      <c r="D9" s="9">
        <v>8</v>
      </c>
      <c r="E9" s="10">
        <f>19200*8</f>
        <v>153600</v>
      </c>
      <c r="F9" s="58"/>
      <c r="G9" s="58" t="s">
        <v>358</v>
      </c>
      <c r="H9" s="10"/>
      <c r="I9" s="10"/>
      <c r="J9" s="11"/>
    </row>
    <row r="10" spans="1:13" ht="48">
      <c r="A10" s="7">
        <v>2</v>
      </c>
      <c r="B10" s="8" t="s">
        <v>190</v>
      </c>
      <c r="C10" s="16" t="s">
        <v>189</v>
      </c>
      <c r="D10" s="9">
        <v>56</v>
      </c>
      <c r="E10" s="10">
        <f>4500*56</f>
        <v>252000</v>
      </c>
      <c r="F10" s="58"/>
      <c r="G10" s="58" t="s">
        <v>358</v>
      </c>
      <c r="H10" s="10"/>
      <c r="I10" s="10"/>
      <c r="J10" s="11"/>
    </row>
    <row r="11" spans="1:13">
      <c r="A11" s="113" t="s">
        <v>8</v>
      </c>
      <c r="B11" s="114"/>
      <c r="C11" s="114"/>
      <c r="D11" s="115"/>
      <c r="E11" s="12">
        <f>SUM(E9:E10)</f>
        <v>405600</v>
      </c>
      <c r="F11" s="12"/>
      <c r="G11" s="12"/>
      <c r="H11" s="12"/>
      <c r="I11" s="12"/>
      <c r="J11" s="13"/>
    </row>
    <row r="12" spans="1:13">
      <c r="D12" s="2" t="s">
        <v>9</v>
      </c>
      <c r="M12" s="1" t="s">
        <v>9</v>
      </c>
    </row>
    <row r="13" spans="1:13">
      <c r="G13" s="4" t="s">
        <v>9</v>
      </c>
    </row>
  </sheetData>
  <mergeCells count="10">
    <mergeCell ref="A11:D11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A16" zoomScale="85" zoomScaleNormal="85" workbookViewId="0">
      <selection activeCell="B14" sqref="B14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0.5703125" style="4" customWidth="1"/>
    <col min="8" max="8" width="22.7109375" style="4" customWidth="1"/>
    <col min="9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J5" s="2" t="s">
        <v>2</v>
      </c>
    </row>
    <row r="6" spans="1:14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4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4" s="35" customFormat="1">
      <c r="A8" s="5"/>
      <c r="B8" s="31" t="s">
        <v>109</v>
      </c>
      <c r="C8" s="38"/>
      <c r="D8" s="39"/>
      <c r="E8" s="40">
        <f>SUM(E9:E12)</f>
        <v>1083900</v>
      </c>
      <c r="F8" s="6"/>
      <c r="G8" s="6"/>
      <c r="H8" s="6"/>
      <c r="I8" s="6"/>
      <c r="J8" s="20"/>
    </row>
    <row r="9" spans="1:14" ht="48">
      <c r="A9" s="7">
        <v>1</v>
      </c>
      <c r="B9" s="8" t="s">
        <v>147</v>
      </c>
      <c r="C9" s="16" t="s">
        <v>25</v>
      </c>
      <c r="D9" s="9">
        <v>5</v>
      </c>
      <c r="E9" s="10">
        <f>27200*5</f>
        <v>136000</v>
      </c>
      <c r="F9" s="25" t="s">
        <v>290</v>
      </c>
      <c r="G9" s="56" t="s">
        <v>294</v>
      </c>
      <c r="H9" s="22"/>
      <c r="I9" s="22"/>
      <c r="J9" s="11"/>
      <c r="L9" s="1" t="s">
        <v>9</v>
      </c>
      <c r="N9" s="1" t="s">
        <v>9</v>
      </c>
    </row>
    <row r="10" spans="1:14" ht="48">
      <c r="A10" s="7">
        <v>2</v>
      </c>
      <c r="B10" s="8" t="s">
        <v>169</v>
      </c>
      <c r="C10" s="16" t="s">
        <v>25</v>
      </c>
      <c r="D10" s="9">
        <v>8</v>
      </c>
      <c r="E10" s="10">
        <f>43000*8</f>
        <v>344000</v>
      </c>
      <c r="F10" s="25" t="s">
        <v>290</v>
      </c>
      <c r="G10" s="56" t="s">
        <v>294</v>
      </c>
      <c r="H10" s="10"/>
      <c r="I10" s="10"/>
      <c r="J10" s="11"/>
    </row>
    <row r="11" spans="1:14" ht="48">
      <c r="A11" s="7">
        <v>3</v>
      </c>
      <c r="B11" s="8" t="s">
        <v>180</v>
      </c>
      <c r="C11" s="16" t="s">
        <v>25</v>
      </c>
      <c r="D11" s="9">
        <v>12</v>
      </c>
      <c r="E11" s="10">
        <f>49500*12</f>
        <v>594000</v>
      </c>
      <c r="F11" s="25" t="s">
        <v>290</v>
      </c>
      <c r="G11" s="56" t="s">
        <v>294</v>
      </c>
      <c r="H11" s="10"/>
      <c r="I11" s="10"/>
      <c r="J11" s="11"/>
    </row>
    <row r="12" spans="1:14">
      <c r="A12" s="7">
        <v>4</v>
      </c>
      <c r="B12" s="8" t="s">
        <v>204</v>
      </c>
      <c r="C12" s="16" t="s">
        <v>25</v>
      </c>
      <c r="D12" s="9">
        <v>1</v>
      </c>
      <c r="E12" s="10">
        <f>9900*1</f>
        <v>9900</v>
      </c>
      <c r="F12" s="25"/>
      <c r="G12" s="10"/>
      <c r="H12" s="10"/>
      <c r="I12" s="10"/>
      <c r="J12" s="11"/>
    </row>
    <row r="13" spans="1:14" s="35" customFormat="1">
      <c r="A13" s="5"/>
      <c r="B13" s="31" t="s">
        <v>235</v>
      </c>
      <c r="C13" s="38"/>
      <c r="D13" s="39"/>
      <c r="E13" s="40">
        <f>SUM(E14)</f>
        <v>2000000</v>
      </c>
      <c r="F13" s="40"/>
      <c r="G13" s="40"/>
      <c r="H13" s="40"/>
      <c r="I13" s="40"/>
      <c r="J13" s="20"/>
    </row>
    <row r="14" spans="1:14" ht="96">
      <c r="A14" s="7">
        <v>5</v>
      </c>
      <c r="B14" s="8" t="s">
        <v>234</v>
      </c>
      <c r="C14" s="16" t="s">
        <v>25</v>
      </c>
      <c r="D14" s="9">
        <v>2</v>
      </c>
      <c r="E14" s="10">
        <f>1000000*2</f>
        <v>2000000</v>
      </c>
      <c r="F14" s="57" t="s">
        <v>360</v>
      </c>
      <c r="G14" s="10"/>
      <c r="H14" s="10"/>
      <c r="I14" s="10"/>
      <c r="J14" s="11"/>
    </row>
    <row r="15" spans="1:14" s="35" customFormat="1">
      <c r="A15" s="5"/>
      <c r="B15" s="31" t="s">
        <v>251</v>
      </c>
      <c r="C15" s="38"/>
      <c r="D15" s="39"/>
      <c r="E15" s="40">
        <f>SUM(E16)</f>
        <v>58500</v>
      </c>
      <c r="F15" s="6"/>
      <c r="G15" s="6"/>
      <c r="H15" s="6"/>
      <c r="I15" s="6"/>
      <c r="J15" s="20"/>
    </row>
    <row r="16" spans="1:14" ht="72">
      <c r="A16" s="7">
        <v>6</v>
      </c>
      <c r="B16" s="8" t="s">
        <v>252</v>
      </c>
      <c r="C16" s="16" t="s">
        <v>25</v>
      </c>
      <c r="D16" s="9">
        <v>1</v>
      </c>
      <c r="E16" s="10">
        <v>58500</v>
      </c>
      <c r="F16" s="25" t="s">
        <v>290</v>
      </c>
      <c r="G16" s="56" t="s">
        <v>361</v>
      </c>
      <c r="H16" s="10"/>
      <c r="I16" s="10"/>
      <c r="J16" s="11"/>
    </row>
    <row r="17" spans="1:13" s="35" customFormat="1">
      <c r="A17" s="5"/>
      <c r="B17" s="31" t="s">
        <v>146</v>
      </c>
      <c r="C17" s="38"/>
      <c r="D17" s="39"/>
      <c r="E17" s="40">
        <f>SUM(E18:E20)</f>
        <v>1297600</v>
      </c>
      <c r="F17" s="6"/>
      <c r="G17" s="6"/>
      <c r="H17" s="6"/>
      <c r="I17" s="6"/>
      <c r="J17" s="20"/>
    </row>
    <row r="18" spans="1:13" ht="72">
      <c r="A18" s="7">
        <v>7</v>
      </c>
      <c r="B18" s="8" t="s">
        <v>22</v>
      </c>
      <c r="C18" s="16" t="s">
        <v>25</v>
      </c>
      <c r="D18" s="9">
        <v>1</v>
      </c>
      <c r="E18" s="10">
        <v>429700</v>
      </c>
      <c r="F18" s="10" t="s">
        <v>359</v>
      </c>
      <c r="G18" s="10" t="s">
        <v>293</v>
      </c>
      <c r="H18" s="47" t="s">
        <v>363</v>
      </c>
      <c r="I18" s="10"/>
      <c r="J18" s="11"/>
      <c r="L18" s="1" t="s">
        <v>9</v>
      </c>
    </row>
    <row r="19" spans="1:13" ht="72">
      <c r="A19" s="7">
        <v>8</v>
      </c>
      <c r="B19" s="8" t="s">
        <v>23</v>
      </c>
      <c r="C19" s="16" t="s">
        <v>25</v>
      </c>
      <c r="D19" s="9">
        <v>1</v>
      </c>
      <c r="E19" s="10">
        <v>543900</v>
      </c>
      <c r="F19" s="10" t="s">
        <v>359</v>
      </c>
      <c r="G19" s="10" t="s">
        <v>293</v>
      </c>
      <c r="H19" s="47" t="s">
        <v>363</v>
      </c>
      <c r="I19" s="10"/>
      <c r="J19" s="11"/>
      <c r="L19" s="1" t="s">
        <v>9</v>
      </c>
    </row>
    <row r="20" spans="1:13" ht="96">
      <c r="A20" s="7">
        <v>9</v>
      </c>
      <c r="B20" s="8" t="s">
        <v>24</v>
      </c>
      <c r="C20" s="14" t="s">
        <v>25</v>
      </c>
      <c r="D20" s="9">
        <v>1</v>
      </c>
      <c r="E20" s="10">
        <v>324000</v>
      </c>
      <c r="F20" s="10" t="s">
        <v>359</v>
      </c>
      <c r="G20" s="10" t="s">
        <v>293</v>
      </c>
      <c r="H20" s="47" t="s">
        <v>364</v>
      </c>
      <c r="I20" s="25" t="s">
        <v>290</v>
      </c>
      <c r="J20" s="11"/>
      <c r="M20" s="1" t="s">
        <v>9</v>
      </c>
    </row>
    <row r="21" spans="1:13">
      <c r="A21" s="113" t="s">
        <v>8</v>
      </c>
      <c r="B21" s="114"/>
      <c r="C21" s="114"/>
      <c r="D21" s="115"/>
      <c r="E21" s="12">
        <f>E8+E13+E15</f>
        <v>3142400</v>
      </c>
      <c r="F21" s="13"/>
      <c r="G21" s="13"/>
      <c r="H21" s="13"/>
      <c r="I21" s="13"/>
      <c r="J21" s="13"/>
    </row>
  </sheetData>
  <mergeCells count="11">
    <mergeCell ref="A2:J2"/>
    <mergeCell ref="A3:J3"/>
    <mergeCell ref="A4:J4"/>
    <mergeCell ref="A21:D21"/>
    <mergeCell ref="F6:I6"/>
    <mergeCell ref="C6:C7"/>
    <mergeCell ref="A6:A7"/>
    <mergeCell ref="B6:B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topLeftCell="A4" zoomScaleNormal="100" workbookViewId="0">
      <selection activeCell="G9" sqref="G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133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231</v>
      </c>
      <c r="C8" s="17"/>
      <c r="D8" s="5"/>
      <c r="E8" s="6"/>
      <c r="F8" s="6"/>
      <c r="G8" s="6"/>
      <c r="H8" s="6"/>
      <c r="I8" s="6"/>
      <c r="J8" s="5"/>
    </row>
    <row r="9" spans="1:13" ht="48">
      <c r="A9" s="7">
        <v>1</v>
      </c>
      <c r="B9" s="8" t="s">
        <v>365</v>
      </c>
      <c r="C9" s="16" t="s">
        <v>134</v>
      </c>
      <c r="D9" s="9">
        <v>1</v>
      </c>
      <c r="E9" s="10">
        <v>496000</v>
      </c>
      <c r="F9" s="10" t="s">
        <v>293</v>
      </c>
      <c r="G9" s="10" t="s">
        <v>293</v>
      </c>
      <c r="H9" s="45" t="s">
        <v>395</v>
      </c>
      <c r="I9" s="45" t="s">
        <v>290</v>
      </c>
      <c r="J9" s="11"/>
    </row>
    <row r="10" spans="1:13">
      <c r="A10" s="113" t="s">
        <v>8</v>
      </c>
      <c r="B10" s="114"/>
      <c r="C10" s="114"/>
      <c r="D10" s="115"/>
      <c r="E10" s="12">
        <f>SUM(E9:E9)</f>
        <v>496000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C12" s="3"/>
      <c r="L12" s="1" t="s">
        <v>9</v>
      </c>
    </row>
    <row r="13" spans="1:13">
      <c r="H13" s="4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33"/>
  <sheetViews>
    <sheetView topLeftCell="A26" zoomScale="85" zoomScaleNormal="85" workbookViewId="0">
      <selection activeCell="B30" sqref="B30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40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59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B5" s="3" t="s">
        <v>9</v>
      </c>
      <c r="J5" s="2" t="s">
        <v>2</v>
      </c>
    </row>
    <row r="6" spans="1:14" ht="24" customHeight="1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4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4" s="35" customFormat="1">
      <c r="A8" s="5"/>
      <c r="B8" s="20" t="s">
        <v>107</v>
      </c>
      <c r="C8" s="17"/>
      <c r="D8" s="5"/>
      <c r="E8" s="6">
        <f>SUM(E9:E14)</f>
        <v>447900</v>
      </c>
      <c r="F8" s="6"/>
      <c r="G8" s="6"/>
      <c r="H8" s="6"/>
      <c r="I8" s="6"/>
      <c r="J8" s="5"/>
    </row>
    <row r="9" spans="1:14" ht="96">
      <c r="A9" s="7">
        <v>1</v>
      </c>
      <c r="B9" s="8" t="s">
        <v>60</v>
      </c>
      <c r="C9" s="16" t="s">
        <v>61</v>
      </c>
      <c r="D9" s="9">
        <v>9</v>
      </c>
      <c r="E9" s="10">
        <f>30000*9</f>
        <v>270000</v>
      </c>
      <c r="F9" s="45" t="s">
        <v>290</v>
      </c>
      <c r="G9" s="47" t="s">
        <v>366</v>
      </c>
      <c r="H9" s="10"/>
      <c r="I9" s="10"/>
      <c r="J9" s="11"/>
      <c r="L9" s="1" t="s">
        <v>9</v>
      </c>
      <c r="N9" s="1" t="s">
        <v>9</v>
      </c>
    </row>
    <row r="10" spans="1:14" ht="96">
      <c r="A10" s="7">
        <v>2</v>
      </c>
      <c r="B10" s="8" t="s">
        <v>69</v>
      </c>
      <c r="C10" s="16" t="s">
        <v>61</v>
      </c>
      <c r="D10" s="9">
        <v>2</v>
      </c>
      <c r="E10" s="10">
        <f>17000*2</f>
        <v>34000</v>
      </c>
      <c r="F10" s="45" t="s">
        <v>290</v>
      </c>
      <c r="G10" s="47" t="s">
        <v>366</v>
      </c>
      <c r="H10" s="10"/>
      <c r="I10" s="10"/>
      <c r="J10" s="11"/>
      <c r="M10" s="1" t="s">
        <v>9</v>
      </c>
    </row>
    <row r="11" spans="1:14" ht="96">
      <c r="A11" s="7">
        <v>3</v>
      </c>
      <c r="B11" s="8" t="s">
        <v>79</v>
      </c>
      <c r="C11" s="16" t="s">
        <v>61</v>
      </c>
      <c r="D11" s="9">
        <v>1</v>
      </c>
      <c r="E11" s="10">
        <f>8900*1</f>
        <v>8900</v>
      </c>
      <c r="F11" s="45" t="s">
        <v>290</v>
      </c>
      <c r="G11" s="47" t="s">
        <v>366</v>
      </c>
      <c r="H11" s="10"/>
      <c r="I11" s="10"/>
      <c r="J11" s="11"/>
    </row>
    <row r="12" spans="1:14" ht="96">
      <c r="A12" s="7">
        <v>4</v>
      </c>
      <c r="B12" s="8" t="s">
        <v>80</v>
      </c>
      <c r="C12" s="16" t="s">
        <v>61</v>
      </c>
      <c r="D12" s="9">
        <v>1</v>
      </c>
      <c r="E12" s="10">
        <f>15000*1</f>
        <v>15000</v>
      </c>
      <c r="F12" s="45" t="s">
        <v>290</v>
      </c>
      <c r="G12" s="47" t="s">
        <v>366</v>
      </c>
      <c r="H12" s="10"/>
      <c r="I12" s="10"/>
      <c r="J12" s="11"/>
      <c r="M12" s="1" t="s">
        <v>9</v>
      </c>
    </row>
    <row r="13" spans="1:14" ht="96">
      <c r="A13" s="7">
        <v>5</v>
      </c>
      <c r="B13" s="8" t="s">
        <v>82</v>
      </c>
      <c r="C13" s="16" t="s">
        <v>61</v>
      </c>
      <c r="D13" s="9">
        <v>3</v>
      </c>
      <c r="E13" s="10">
        <f>22000*3</f>
        <v>66000</v>
      </c>
      <c r="F13" s="45" t="s">
        <v>290</v>
      </c>
      <c r="G13" s="47" t="s">
        <v>366</v>
      </c>
      <c r="H13" s="10"/>
      <c r="I13" s="10"/>
      <c r="J13" s="11"/>
    </row>
    <row r="14" spans="1:14" ht="96">
      <c r="A14" s="7">
        <v>6</v>
      </c>
      <c r="B14" s="8" t="s">
        <v>89</v>
      </c>
      <c r="C14" s="16" t="s">
        <v>61</v>
      </c>
      <c r="D14" s="9">
        <v>2</v>
      </c>
      <c r="E14" s="10">
        <f>27000*2</f>
        <v>54000</v>
      </c>
      <c r="F14" s="45" t="s">
        <v>290</v>
      </c>
      <c r="G14" s="47" t="s">
        <v>366</v>
      </c>
      <c r="H14" s="10"/>
      <c r="I14" s="10"/>
      <c r="J14" s="11"/>
    </row>
    <row r="15" spans="1:14" s="35" customFormat="1">
      <c r="A15" s="5"/>
      <c r="B15" s="20" t="s">
        <v>109</v>
      </c>
      <c r="C15" s="17"/>
      <c r="D15" s="5"/>
      <c r="E15" s="6">
        <f>SUM(E16:E28)</f>
        <v>652200</v>
      </c>
      <c r="F15" s="6"/>
      <c r="G15" s="6"/>
      <c r="H15" s="6"/>
      <c r="I15" s="6"/>
      <c r="J15" s="5"/>
    </row>
    <row r="16" spans="1:14" ht="96">
      <c r="A16" s="7">
        <v>7</v>
      </c>
      <c r="B16" s="8" t="s">
        <v>91</v>
      </c>
      <c r="C16" s="16" t="s">
        <v>61</v>
      </c>
      <c r="D16" s="9">
        <v>1</v>
      </c>
      <c r="E16" s="10">
        <f>4300*1</f>
        <v>4300</v>
      </c>
      <c r="F16" s="45" t="s">
        <v>290</v>
      </c>
      <c r="G16" s="47" t="s">
        <v>366</v>
      </c>
      <c r="H16" s="10"/>
      <c r="I16" s="10"/>
      <c r="J16" s="11"/>
    </row>
    <row r="17" spans="1:14" ht="96">
      <c r="A17" s="7">
        <v>8</v>
      </c>
      <c r="B17" s="8" t="s">
        <v>92</v>
      </c>
      <c r="C17" s="16" t="s">
        <v>61</v>
      </c>
      <c r="D17" s="9">
        <v>1</v>
      </c>
      <c r="E17" s="10">
        <f>16000*1</f>
        <v>16000</v>
      </c>
      <c r="F17" s="45" t="s">
        <v>290</v>
      </c>
      <c r="G17" s="47" t="s">
        <v>366</v>
      </c>
      <c r="H17" s="10"/>
      <c r="I17" s="10"/>
      <c r="J17" s="11"/>
    </row>
    <row r="18" spans="1:14" ht="96">
      <c r="A18" s="7">
        <v>9</v>
      </c>
      <c r="B18" s="8" t="s">
        <v>93</v>
      </c>
      <c r="C18" s="16" t="s">
        <v>61</v>
      </c>
      <c r="D18" s="9">
        <v>8</v>
      </c>
      <c r="E18" s="10">
        <f>2500*8</f>
        <v>20000</v>
      </c>
      <c r="F18" s="45" t="s">
        <v>290</v>
      </c>
      <c r="G18" s="47" t="s">
        <v>366</v>
      </c>
      <c r="H18" s="10"/>
      <c r="I18" s="10"/>
      <c r="J18" s="11"/>
    </row>
    <row r="19" spans="1:14" ht="96">
      <c r="A19" s="7">
        <v>10</v>
      </c>
      <c r="B19" s="8" t="s">
        <v>95</v>
      </c>
      <c r="C19" s="16" t="s">
        <v>61</v>
      </c>
      <c r="D19" s="9">
        <v>1</v>
      </c>
      <c r="E19" s="10">
        <f>57000*1</f>
        <v>57000</v>
      </c>
      <c r="F19" s="45" t="s">
        <v>290</v>
      </c>
      <c r="G19" s="47" t="s">
        <v>367</v>
      </c>
      <c r="H19" s="10"/>
      <c r="I19" s="10"/>
      <c r="J19" s="11"/>
      <c r="L19" s="1" t="s">
        <v>9</v>
      </c>
      <c r="M19" s="1" t="s">
        <v>9</v>
      </c>
      <c r="N19" s="1" t="s">
        <v>9</v>
      </c>
    </row>
    <row r="20" spans="1:14" ht="96">
      <c r="A20" s="7">
        <v>11</v>
      </c>
      <c r="B20" s="8" t="s">
        <v>96</v>
      </c>
      <c r="C20" s="16" t="s">
        <v>61</v>
      </c>
      <c r="D20" s="9">
        <v>5</v>
      </c>
      <c r="E20" s="10">
        <f>8300*5</f>
        <v>41500</v>
      </c>
      <c r="F20" s="45" t="s">
        <v>290</v>
      </c>
      <c r="G20" s="47" t="s">
        <v>367</v>
      </c>
      <c r="H20" s="10"/>
      <c r="I20" s="10"/>
      <c r="J20" s="11"/>
    </row>
    <row r="21" spans="1:14" ht="48">
      <c r="A21" s="7">
        <v>12</v>
      </c>
      <c r="B21" s="8" t="s">
        <v>97</v>
      </c>
      <c r="C21" s="16" t="s">
        <v>61</v>
      </c>
      <c r="D21" s="9">
        <v>1</v>
      </c>
      <c r="E21" s="10">
        <f>418100*1</f>
        <v>418100</v>
      </c>
      <c r="F21" s="58"/>
      <c r="G21" s="58"/>
      <c r="H21" s="10"/>
      <c r="I21" s="10"/>
      <c r="J21" s="11"/>
    </row>
    <row r="22" spans="1:14" ht="48">
      <c r="A22" s="7">
        <v>13</v>
      </c>
      <c r="B22" s="8" t="s">
        <v>98</v>
      </c>
      <c r="C22" s="16" t="s">
        <v>61</v>
      </c>
      <c r="D22" s="9">
        <v>5</v>
      </c>
      <c r="E22" s="10">
        <f>5400*5</f>
        <v>27000</v>
      </c>
      <c r="F22" s="58"/>
      <c r="G22" s="58"/>
      <c r="H22" s="10"/>
      <c r="I22" s="10"/>
      <c r="J22" s="11"/>
    </row>
    <row r="23" spans="1:14" ht="48">
      <c r="A23" s="7">
        <v>14</v>
      </c>
      <c r="B23" s="8" t="s">
        <v>99</v>
      </c>
      <c r="C23" s="16" t="s">
        <v>61</v>
      </c>
      <c r="D23" s="9">
        <v>1</v>
      </c>
      <c r="E23" s="10">
        <f>14400*1</f>
        <v>14400</v>
      </c>
      <c r="F23" s="58"/>
      <c r="G23" s="58"/>
      <c r="H23" s="10"/>
      <c r="I23" s="10"/>
      <c r="J23" s="11"/>
    </row>
    <row r="24" spans="1:14" ht="48">
      <c r="A24" s="7">
        <v>15</v>
      </c>
      <c r="B24" s="8" t="s">
        <v>100</v>
      </c>
      <c r="C24" s="16" t="s">
        <v>61</v>
      </c>
      <c r="D24" s="9">
        <v>5</v>
      </c>
      <c r="E24" s="10">
        <f>4500*5</f>
        <v>22500</v>
      </c>
      <c r="F24" s="58"/>
      <c r="G24" s="58"/>
      <c r="H24" s="10"/>
      <c r="I24" s="10"/>
      <c r="J24" s="11"/>
    </row>
    <row r="25" spans="1:14" ht="48">
      <c r="A25" s="7">
        <v>16</v>
      </c>
      <c r="B25" s="8" t="s">
        <v>101</v>
      </c>
      <c r="C25" s="16" t="s">
        <v>61</v>
      </c>
      <c r="D25" s="9">
        <v>1</v>
      </c>
      <c r="E25" s="10">
        <f>2400*1</f>
        <v>2400</v>
      </c>
      <c r="F25" s="58"/>
      <c r="G25" s="58"/>
      <c r="H25" s="10"/>
      <c r="I25" s="10"/>
      <c r="J25" s="11"/>
    </row>
    <row r="26" spans="1:14" ht="48">
      <c r="A26" s="7">
        <v>17</v>
      </c>
      <c r="B26" s="8" t="s">
        <v>120</v>
      </c>
      <c r="C26" s="16" t="s">
        <v>61</v>
      </c>
      <c r="D26" s="9">
        <v>1</v>
      </c>
      <c r="E26" s="10">
        <f>19300*1</f>
        <v>19300</v>
      </c>
      <c r="F26" s="10" t="s">
        <v>9</v>
      </c>
      <c r="G26" s="47" t="s">
        <v>368</v>
      </c>
      <c r="H26" s="10"/>
      <c r="I26" s="10"/>
      <c r="J26" s="11"/>
    </row>
    <row r="27" spans="1:14" ht="28.5" customHeight="1">
      <c r="A27" s="7">
        <v>18</v>
      </c>
      <c r="B27" s="8" t="s">
        <v>185</v>
      </c>
      <c r="C27" s="16" t="s">
        <v>61</v>
      </c>
      <c r="D27" s="9">
        <v>1</v>
      </c>
      <c r="E27" s="10">
        <f>3600*1</f>
        <v>3600</v>
      </c>
      <c r="F27" s="10"/>
      <c r="G27" s="10" t="s">
        <v>309</v>
      </c>
      <c r="H27" s="10"/>
      <c r="I27" s="10"/>
      <c r="J27" s="11"/>
    </row>
    <row r="28" spans="1:14" ht="28.5" customHeight="1">
      <c r="A28" s="7">
        <v>19</v>
      </c>
      <c r="B28" s="8" t="s">
        <v>198</v>
      </c>
      <c r="C28" s="16" t="s">
        <v>61</v>
      </c>
      <c r="D28" s="9">
        <v>2</v>
      </c>
      <c r="E28" s="10">
        <f>3050*2</f>
        <v>6100</v>
      </c>
      <c r="F28" s="10"/>
      <c r="G28" s="10" t="s">
        <v>309</v>
      </c>
      <c r="H28" s="10"/>
      <c r="I28" s="10"/>
      <c r="J28" s="11"/>
    </row>
    <row r="29" spans="1:14" s="35" customFormat="1" ht="28.5" customHeight="1">
      <c r="A29" s="5"/>
      <c r="B29" s="31" t="s">
        <v>253</v>
      </c>
      <c r="C29" s="38"/>
      <c r="D29" s="39"/>
      <c r="E29" s="40">
        <f>SUM(E30)</f>
        <v>91200</v>
      </c>
      <c r="F29" s="40"/>
      <c r="G29" s="40"/>
      <c r="H29" s="40"/>
      <c r="I29" s="40"/>
      <c r="J29" s="20"/>
    </row>
    <row r="30" spans="1:14" ht="96">
      <c r="A30" s="7">
        <v>1</v>
      </c>
      <c r="B30" s="8" t="s">
        <v>254</v>
      </c>
      <c r="C30" s="16" t="s">
        <v>61</v>
      </c>
      <c r="D30" s="9">
        <v>16</v>
      </c>
      <c r="E30" s="10">
        <f>5700*16</f>
        <v>91200</v>
      </c>
      <c r="F30" s="10"/>
      <c r="G30" s="47" t="s">
        <v>367</v>
      </c>
      <c r="H30" s="10"/>
      <c r="I30" s="10"/>
      <c r="J30" s="11"/>
      <c r="M30" s="1" t="s">
        <v>9</v>
      </c>
    </row>
    <row r="31" spans="1:14">
      <c r="A31" s="113" t="s">
        <v>8</v>
      </c>
      <c r="B31" s="114"/>
      <c r="C31" s="114"/>
      <c r="D31" s="115"/>
      <c r="E31" s="12">
        <f>E8+E15+E29</f>
        <v>1191300</v>
      </c>
      <c r="F31" s="12"/>
      <c r="G31" s="12"/>
      <c r="H31" s="12"/>
      <c r="I31" s="12"/>
      <c r="J31" s="13"/>
    </row>
    <row r="32" spans="1:14">
      <c r="D32" s="2" t="s">
        <v>9</v>
      </c>
      <c r="M32" s="1" t="s">
        <v>9</v>
      </c>
    </row>
    <row r="33" spans="3:12">
      <c r="C33" s="3"/>
      <c r="L33" s="1" t="s">
        <v>9</v>
      </c>
    </row>
  </sheetData>
  <mergeCells count="11">
    <mergeCell ref="A2:J2"/>
    <mergeCell ref="A3:J3"/>
    <mergeCell ref="A4:J4"/>
    <mergeCell ref="F6:I6"/>
    <mergeCell ref="A31:D3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5"/>
  <sheetViews>
    <sheetView topLeftCell="A5" zoomScale="85" zoomScaleNormal="85" workbookViewId="0">
      <selection activeCell="B12" sqref="B12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44.28515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  <c r="L7" s="1" t="s">
        <v>9</v>
      </c>
    </row>
    <row r="8" spans="1:13">
      <c r="A8" s="5"/>
      <c r="B8" s="20" t="s">
        <v>107</v>
      </c>
      <c r="C8" s="17"/>
      <c r="D8" s="5"/>
      <c r="E8" s="6">
        <f>SUM(E9+E10)</f>
        <v>98000</v>
      </c>
      <c r="F8" s="6"/>
      <c r="G8" s="6"/>
      <c r="H8" s="6"/>
      <c r="I8" s="6"/>
      <c r="J8" s="5"/>
    </row>
    <row r="9" spans="1:13" ht="96">
      <c r="A9" s="7">
        <v>1</v>
      </c>
      <c r="B9" s="8" t="s">
        <v>65</v>
      </c>
      <c r="C9" s="16" t="s">
        <v>66</v>
      </c>
      <c r="D9" s="9">
        <v>2</v>
      </c>
      <c r="E9" s="10">
        <f>23000*2</f>
        <v>46000</v>
      </c>
      <c r="F9" s="45" t="s">
        <v>290</v>
      </c>
      <c r="G9" s="47" t="s">
        <v>366</v>
      </c>
      <c r="H9" s="10"/>
      <c r="I9" s="10"/>
      <c r="J9" s="11"/>
      <c r="L9" s="1" t="s">
        <v>9</v>
      </c>
    </row>
    <row r="10" spans="1:13" ht="96">
      <c r="A10" s="7">
        <v>2</v>
      </c>
      <c r="B10" s="8" t="s">
        <v>78</v>
      </c>
      <c r="C10" s="16" t="s">
        <v>66</v>
      </c>
      <c r="D10" s="9">
        <v>2</v>
      </c>
      <c r="E10" s="10">
        <f>26000*2</f>
        <v>52000</v>
      </c>
      <c r="F10" s="45" t="s">
        <v>290</v>
      </c>
      <c r="G10" s="47" t="s">
        <v>366</v>
      </c>
      <c r="H10" s="10"/>
      <c r="I10" s="10"/>
      <c r="J10" s="11"/>
      <c r="K10" s="1" t="s">
        <v>9</v>
      </c>
      <c r="L10" s="1" t="s">
        <v>9</v>
      </c>
    </row>
    <row r="11" spans="1:13">
      <c r="A11" s="5"/>
      <c r="B11" s="20" t="s">
        <v>231</v>
      </c>
      <c r="C11" s="17"/>
      <c r="D11" s="5"/>
      <c r="E11" s="6">
        <f>SUM(E12)</f>
        <v>7715200</v>
      </c>
      <c r="F11" s="6"/>
      <c r="G11" s="6"/>
      <c r="H11" s="6"/>
      <c r="I11" s="6"/>
      <c r="J11" s="5"/>
    </row>
    <row r="12" spans="1:13" ht="72">
      <c r="A12" s="7">
        <v>3</v>
      </c>
      <c r="B12" s="8" t="s">
        <v>205</v>
      </c>
      <c r="C12" s="16" t="s">
        <v>66</v>
      </c>
      <c r="D12" s="9">
        <v>4</v>
      </c>
      <c r="E12" s="10">
        <v>7715200</v>
      </c>
      <c r="F12" s="10" t="s">
        <v>369</v>
      </c>
      <c r="G12" s="58" t="s">
        <v>370</v>
      </c>
      <c r="H12" s="10"/>
      <c r="I12" s="10"/>
      <c r="J12" s="11"/>
    </row>
    <row r="13" spans="1:13">
      <c r="A13" s="113" t="s">
        <v>8</v>
      </c>
      <c r="B13" s="114"/>
      <c r="C13" s="114"/>
      <c r="D13" s="115"/>
      <c r="E13" s="12">
        <f>SUM(E9:E12)</f>
        <v>15528400</v>
      </c>
      <c r="F13" s="12"/>
      <c r="G13" s="12"/>
      <c r="H13" s="12"/>
      <c r="I13" s="12"/>
      <c r="J13" s="13"/>
    </row>
    <row r="14" spans="1:13">
      <c r="D14" s="2" t="s">
        <v>9</v>
      </c>
      <c r="M14" s="1" t="s">
        <v>9</v>
      </c>
    </row>
    <row r="15" spans="1:13">
      <c r="C15" s="3"/>
      <c r="L15" s="1" t="s">
        <v>9</v>
      </c>
    </row>
  </sheetData>
  <mergeCells count="11">
    <mergeCell ref="A2:J2"/>
    <mergeCell ref="A3:J3"/>
    <mergeCell ref="A4:J4"/>
    <mergeCell ref="F6:I6"/>
    <mergeCell ref="A13:D13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zoomScale="85" zoomScaleNormal="85" workbookViewId="0">
      <selection activeCell="M10" sqref="M10"/>
    </sheetView>
  </sheetViews>
  <sheetFormatPr defaultColWidth="9" defaultRowHeight="24"/>
  <cols>
    <col min="1" max="1" width="9" style="2"/>
    <col min="2" max="2" width="46" style="3" customWidth="1"/>
    <col min="3" max="3" width="10.14062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19.28515625" style="4" bestFit="1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231</v>
      </c>
      <c r="C8" s="17"/>
      <c r="D8" s="5"/>
      <c r="E8" s="6"/>
      <c r="F8" s="6"/>
      <c r="G8" s="6"/>
      <c r="H8" s="6"/>
      <c r="I8" s="6"/>
      <c r="J8" s="5"/>
      <c r="M8" s="1" t="s">
        <v>9</v>
      </c>
    </row>
    <row r="9" spans="1:13" ht="72">
      <c r="A9" s="7">
        <v>1</v>
      </c>
      <c r="B9" s="8" t="s">
        <v>10</v>
      </c>
      <c r="C9" s="14" t="s">
        <v>11</v>
      </c>
      <c r="D9" s="15">
        <v>1</v>
      </c>
      <c r="E9" s="10">
        <v>987300</v>
      </c>
      <c r="F9" s="45" t="s">
        <v>290</v>
      </c>
      <c r="G9" s="10" t="s">
        <v>309</v>
      </c>
      <c r="H9" s="10" t="s">
        <v>293</v>
      </c>
      <c r="I9" s="45" t="s">
        <v>290</v>
      </c>
      <c r="J9" s="11"/>
      <c r="L9" s="1" t="s">
        <v>9</v>
      </c>
      <c r="M9" s="1" t="s">
        <v>9</v>
      </c>
    </row>
    <row r="10" spans="1:13">
      <c r="A10" s="113" t="s">
        <v>8</v>
      </c>
      <c r="B10" s="114"/>
      <c r="C10" s="114"/>
      <c r="D10" s="115"/>
      <c r="E10" s="12">
        <f>SUM(E9:E9)</f>
        <v>987300</v>
      </c>
      <c r="F10" s="6"/>
      <c r="G10" s="6"/>
      <c r="H10" s="6"/>
      <c r="I10" s="6"/>
      <c r="J10" s="13"/>
    </row>
  </sheetData>
  <mergeCells count="11">
    <mergeCell ref="A2:J2"/>
    <mergeCell ref="A3:J3"/>
    <mergeCell ref="A4:J4"/>
    <mergeCell ref="A10:D10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2"/>
  <sheetViews>
    <sheetView topLeftCell="A3" zoomScale="85" zoomScaleNormal="85" workbookViewId="0">
      <selection activeCell="E16" sqref="E16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29.285156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140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  <c r="K7" s="1" t="s">
        <v>9</v>
      </c>
    </row>
    <row r="8" spans="1:13">
      <c r="A8" s="5"/>
      <c r="B8" s="20" t="s">
        <v>231</v>
      </c>
      <c r="C8" s="17"/>
      <c r="D8" s="5"/>
      <c r="E8" s="6"/>
      <c r="F8" s="6"/>
      <c r="G8" s="6"/>
      <c r="H8" s="6"/>
      <c r="I8" s="6"/>
      <c r="J8" s="5"/>
    </row>
    <row r="9" spans="1:13" ht="72">
      <c r="A9" s="7">
        <v>1</v>
      </c>
      <c r="B9" s="8" t="s">
        <v>371</v>
      </c>
      <c r="C9" s="8" t="s">
        <v>141</v>
      </c>
      <c r="D9" s="9">
        <v>1</v>
      </c>
      <c r="E9" s="10">
        <v>4029900</v>
      </c>
      <c r="F9" s="45" t="s">
        <v>290</v>
      </c>
      <c r="G9" s="10" t="s">
        <v>356</v>
      </c>
      <c r="H9" s="45" t="s">
        <v>394</v>
      </c>
      <c r="I9" s="10" t="s">
        <v>362</v>
      </c>
      <c r="J9" s="23" t="s">
        <v>372</v>
      </c>
    </row>
    <row r="10" spans="1:13">
      <c r="A10" s="113" t="s">
        <v>8</v>
      </c>
      <c r="B10" s="114"/>
      <c r="C10" s="114"/>
      <c r="D10" s="115"/>
      <c r="E10" s="12">
        <f>SUM(E9:E9)</f>
        <v>4029900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L12" s="1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5"/>
  <sheetViews>
    <sheetView zoomScaleNormal="100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0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88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3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3">
      <c r="A8" s="5"/>
      <c r="B8" s="20" t="s">
        <v>107</v>
      </c>
      <c r="C8" s="17"/>
      <c r="D8" s="5"/>
      <c r="E8" s="6"/>
      <c r="F8" s="6"/>
      <c r="G8" s="6"/>
      <c r="H8" s="6"/>
      <c r="I8" s="6"/>
      <c r="J8" s="5"/>
    </row>
    <row r="9" spans="1:13" ht="96">
      <c r="A9" s="7">
        <v>1</v>
      </c>
      <c r="B9" s="8" t="s">
        <v>89</v>
      </c>
      <c r="C9" s="16" t="s">
        <v>90</v>
      </c>
      <c r="D9" s="9">
        <v>2</v>
      </c>
      <c r="E9" s="10">
        <f>27000*2</f>
        <v>54000</v>
      </c>
      <c r="F9" s="45" t="s">
        <v>290</v>
      </c>
      <c r="G9" s="47" t="s">
        <v>302</v>
      </c>
      <c r="H9" s="10"/>
      <c r="I9" s="10"/>
      <c r="J9" s="11"/>
    </row>
    <row r="10" spans="1:13">
      <c r="A10" s="26"/>
      <c r="B10" s="31" t="s">
        <v>109</v>
      </c>
      <c r="C10" s="27"/>
      <c r="D10" s="28"/>
      <c r="E10" s="29"/>
      <c r="F10" s="29"/>
      <c r="G10" s="29"/>
      <c r="H10" s="29"/>
      <c r="I10" s="29"/>
      <c r="J10" s="30"/>
    </row>
    <row r="11" spans="1:13" ht="48">
      <c r="A11" s="7">
        <v>2</v>
      </c>
      <c r="B11" s="8" t="s">
        <v>112</v>
      </c>
      <c r="C11" s="16" t="s">
        <v>90</v>
      </c>
      <c r="D11" s="9">
        <v>1</v>
      </c>
      <c r="E11" s="10">
        <f>30000*1</f>
        <v>30000</v>
      </c>
      <c r="F11" s="45" t="s">
        <v>290</v>
      </c>
      <c r="G11" s="47" t="s">
        <v>303</v>
      </c>
      <c r="H11" s="10"/>
      <c r="I11" s="10"/>
      <c r="J11" s="11"/>
      <c r="L11" s="1" t="s">
        <v>9</v>
      </c>
    </row>
    <row r="12" spans="1:13" ht="48">
      <c r="A12" s="7">
        <v>3</v>
      </c>
      <c r="B12" s="8" t="s">
        <v>124</v>
      </c>
      <c r="C12" s="16" t="s">
        <v>90</v>
      </c>
      <c r="D12" s="9">
        <v>1</v>
      </c>
      <c r="E12" s="10">
        <f>69900*1</f>
        <v>69900</v>
      </c>
      <c r="F12" s="45" t="s">
        <v>290</v>
      </c>
      <c r="G12" s="47" t="s">
        <v>304</v>
      </c>
      <c r="H12" s="10"/>
      <c r="I12" s="10"/>
      <c r="J12" s="11"/>
    </row>
    <row r="13" spans="1:13">
      <c r="A13" s="113" t="s">
        <v>8</v>
      </c>
      <c r="B13" s="114"/>
      <c r="C13" s="114"/>
      <c r="D13" s="115"/>
      <c r="E13" s="12">
        <f>SUM(E9:E12)</f>
        <v>153900</v>
      </c>
      <c r="F13" s="12"/>
      <c r="G13" s="12"/>
      <c r="H13" s="12"/>
      <c r="I13" s="12"/>
      <c r="J13" s="13"/>
    </row>
    <row r="14" spans="1:13">
      <c r="D14" s="2" t="s">
        <v>9</v>
      </c>
      <c r="M14" s="1" t="s">
        <v>9</v>
      </c>
    </row>
    <row r="15" spans="1:13">
      <c r="L15" s="1" t="s">
        <v>9</v>
      </c>
    </row>
  </sheetData>
  <mergeCells count="11">
    <mergeCell ref="A2:J2"/>
    <mergeCell ref="A3:J3"/>
    <mergeCell ref="A4:J4"/>
    <mergeCell ref="F6:I6"/>
    <mergeCell ref="A13:D13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zoomScaleNormal="100" workbookViewId="0">
      <selection activeCell="K13" sqref="K13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8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267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5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5"/>
    </row>
    <row r="8" spans="1:13">
      <c r="A8" s="18"/>
      <c r="B8" s="33" t="s">
        <v>256</v>
      </c>
      <c r="C8" s="32"/>
      <c r="D8" s="18"/>
      <c r="E8" s="19"/>
      <c r="F8" s="6"/>
      <c r="G8" s="6"/>
      <c r="H8" s="6"/>
      <c r="I8" s="6"/>
      <c r="J8" s="5"/>
    </row>
    <row r="9" spans="1:13" ht="48">
      <c r="A9" s="7">
        <v>1</v>
      </c>
      <c r="B9" s="8" t="s">
        <v>268</v>
      </c>
      <c r="C9" s="16" t="s">
        <v>269</v>
      </c>
      <c r="D9" s="9">
        <v>1</v>
      </c>
      <c r="E9" s="10">
        <v>425100</v>
      </c>
      <c r="F9" s="10" t="s">
        <v>356</v>
      </c>
      <c r="G9" s="59" t="s">
        <v>323</v>
      </c>
      <c r="H9" s="10" t="s">
        <v>356</v>
      </c>
      <c r="I9" s="45" t="s">
        <v>290</v>
      </c>
      <c r="J9" s="11" t="s">
        <v>393</v>
      </c>
    </row>
    <row r="10" spans="1:13">
      <c r="A10" s="113" t="s">
        <v>8</v>
      </c>
      <c r="B10" s="114"/>
      <c r="C10" s="114"/>
      <c r="D10" s="115"/>
      <c r="E10" s="12">
        <f>SUM(E8:E9)</f>
        <v>425100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3" spans="1:13">
      <c r="I13" s="4" t="s">
        <v>9</v>
      </c>
    </row>
  </sheetData>
  <mergeCells count="10">
    <mergeCell ref="A10:D10"/>
    <mergeCell ref="A2:J2"/>
    <mergeCell ref="A3:J3"/>
    <mergeCell ref="A4:J4"/>
    <mergeCell ref="A6:A7"/>
    <mergeCell ref="B6:B7"/>
    <mergeCell ref="C6:C7"/>
    <mergeCell ref="D6:D7"/>
    <mergeCell ref="E6:E7"/>
    <mergeCell ref="F6:I6"/>
  </mergeCells>
  <pageMargins left="0.25" right="0.25" top="0.75" bottom="0.75" header="0.3" footer="0.3"/>
  <pageSetup paperSize="9" scale="6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topLeftCell="A10" zoomScale="85" zoomScaleNormal="85" workbookViewId="0">
      <selection activeCell="G14" sqref="G14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7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70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B5" s="3" t="s">
        <v>9</v>
      </c>
      <c r="J5" s="2" t="s">
        <v>2</v>
      </c>
    </row>
    <row r="6" spans="1:14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4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4">
      <c r="A8" s="5"/>
      <c r="B8" s="20" t="s">
        <v>107</v>
      </c>
      <c r="C8" s="17"/>
      <c r="D8" s="5"/>
      <c r="E8" s="6">
        <f>SUM(E9:E11)</f>
        <v>253500</v>
      </c>
      <c r="F8" s="6"/>
      <c r="G8" s="6"/>
      <c r="H8" s="6"/>
      <c r="I8" s="6"/>
      <c r="J8" s="5"/>
      <c r="N8" s="1" t="s">
        <v>9</v>
      </c>
    </row>
    <row r="9" spans="1:14" ht="96">
      <c r="A9" s="7">
        <v>1</v>
      </c>
      <c r="B9" s="8" t="s">
        <v>69</v>
      </c>
      <c r="C9" s="16" t="s">
        <v>71</v>
      </c>
      <c r="D9" s="9">
        <v>8</v>
      </c>
      <c r="E9" s="10">
        <f>17000*8</f>
        <v>136000</v>
      </c>
      <c r="F9" s="45" t="s">
        <v>290</v>
      </c>
      <c r="G9" s="47" t="s">
        <v>373</v>
      </c>
      <c r="H9" s="10"/>
      <c r="I9" s="10"/>
      <c r="J9" s="11"/>
      <c r="L9" s="1" t="s">
        <v>9</v>
      </c>
    </row>
    <row r="10" spans="1:14" ht="96">
      <c r="A10" s="7">
        <v>2</v>
      </c>
      <c r="B10" s="8" t="s">
        <v>81</v>
      </c>
      <c r="C10" s="16" t="s">
        <v>71</v>
      </c>
      <c r="D10" s="9">
        <v>5</v>
      </c>
      <c r="E10" s="10">
        <f>7500*5</f>
        <v>37500</v>
      </c>
      <c r="F10" s="45" t="s">
        <v>290</v>
      </c>
      <c r="G10" s="47" t="s">
        <v>375</v>
      </c>
      <c r="H10" s="10"/>
      <c r="I10" s="10"/>
      <c r="J10" s="11"/>
      <c r="L10" s="1" t="s">
        <v>9</v>
      </c>
    </row>
    <row r="11" spans="1:14" ht="96">
      <c r="A11" s="7">
        <v>3</v>
      </c>
      <c r="B11" s="8" t="s">
        <v>92</v>
      </c>
      <c r="C11" s="16" t="s">
        <v>71</v>
      </c>
      <c r="D11" s="9">
        <v>5</v>
      </c>
      <c r="E11" s="10">
        <f>16000*5</f>
        <v>80000</v>
      </c>
      <c r="F11" s="45" t="s">
        <v>290</v>
      </c>
      <c r="G11" s="47" t="s">
        <v>374</v>
      </c>
      <c r="H11" s="10"/>
      <c r="I11" s="10"/>
      <c r="J11" s="11"/>
    </row>
    <row r="12" spans="1:14" s="35" customFormat="1">
      <c r="A12" s="5"/>
      <c r="B12" s="31" t="s">
        <v>109</v>
      </c>
      <c r="C12" s="38"/>
      <c r="D12" s="39"/>
      <c r="E12" s="40">
        <f>SUM(E13:E18)</f>
        <v>1665200</v>
      </c>
      <c r="F12" s="40"/>
      <c r="G12" s="40"/>
      <c r="H12" s="40"/>
      <c r="I12" s="40"/>
      <c r="J12" s="20"/>
    </row>
    <row r="13" spans="1:14" ht="48">
      <c r="A13" s="7">
        <v>4</v>
      </c>
      <c r="B13" s="8" t="s">
        <v>128</v>
      </c>
      <c r="C13" s="16" t="s">
        <v>71</v>
      </c>
      <c r="D13" s="9">
        <v>1</v>
      </c>
      <c r="E13" s="10">
        <f>18500*1</f>
        <v>18500</v>
      </c>
      <c r="F13" s="45" t="s">
        <v>290</v>
      </c>
      <c r="G13" s="47" t="s">
        <v>376</v>
      </c>
      <c r="H13" s="10"/>
      <c r="I13" s="10"/>
      <c r="J13" s="11"/>
    </row>
    <row r="14" spans="1:14" ht="48">
      <c r="A14" s="7">
        <v>5</v>
      </c>
      <c r="B14" s="8" t="s">
        <v>147</v>
      </c>
      <c r="C14" s="16" t="s">
        <v>71</v>
      </c>
      <c r="D14" s="9">
        <v>2</v>
      </c>
      <c r="E14" s="10">
        <f>27200*2</f>
        <v>54400</v>
      </c>
      <c r="F14" s="45" t="s">
        <v>290</v>
      </c>
      <c r="G14" s="47" t="s">
        <v>377</v>
      </c>
      <c r="H14" s="10"/>
      <c r="I14" s="10"/>
      <c r="J14" s="11"/>
      <c r="M14" s="1" t="s">
        <v>9</v>
      </c>
    </row>
    <row r="15" spans="1:14" ht="48">
      <c r="A15" s="7">
        <v>6</v>
      </c>
      <c r="B15" s="8" t="s">
        <v>157</v>
      </c>
      <c r="C15" s="16" t="s">
        <v>71</v>
      </c>
      <c r="D15" s="9">
        <v>11</v>
      </c>
      <c r="E15" s="10">
        <f>36300*11</f>
        <v>399300</v>
      </c>
      <c r="F15" s="45" t="s">
        <v>290</v>
      </c>
      <c r="G15" s="47" t="s">
        <v>377</v>
      </c>
      <c r="H15" s="10"/>
      <c r="I15" s="10"/>
      <c r="J15" s="11"/>
      <c r="K15" s="1" t="s">
        <v>9</v>
      </c>
    </row>
    <row r="16" spans="1:14" ht="48">
      <c r="A16" s="7">
        <v>7</v>
      </c>
      <c r="B16" s="8" t="s">
        <v>161</v>
      </c>
      <c r="C16" s="16" t="s">
        <v>71</v>
      </c>
      <c r="D16" s="9">
        <v>2</v>
      </c>
      <c r="E16" s="10">
        <f>41500*2</f>
        <v>83000</v>
      </c>
      <c r="F16" s="45" t="s">
        <v>290</v>
      </c>
      <c r="G16" s="47" t="s">
        <v>378</v>
      </c>
      <c r="H16" s="10"/>
      <c r="I16" s="10"/>
      <c r="J16" s="11"/>
    </row>
    <row r="17" spans="1:13" ht="48">
      <c r="A17" s="7">
        <v>8</v>
      </c>
      <c r="B17" s="8" t="s">
        <v>169</v>
      </c>
      <c r="C17" s="16" t="s">
        <v>71</v>
      </c>
      <c r="D17" s="9">
        <v>12</v>
      </c>
      <c r="E17" s="10">
        <f>43000*12</f>
        <v>516000</v>
      </c>
      <c r="F17" s="45" t="s">
        <v>290</v>
      </c>
      <c r="G17" s="47" t="s">
        <v>378</v>
      </c>
      <c r="H17" s="10"/>
      <c r="I17" s="10"/>
      <c r="J17" s="11"/>
    </row>
    <row r="18" spans="1:13" ht="48">
      <c r="A18" s="7">
        <v>9</v>
      </c>
      <c r="B18" s="8" t="s">
        <v>180</v>
      </c>
      <c r="C18" s="16" t="s">
        <v>71</v>
      </c>
      <c r="D18" s="9">
        <v>12</v>
      </c>
      <c r="E18" s="10">
        <f>49500*12</f>
        <v>594000</v>
      </c>
      <c r="F18" s="45" t="s">
        <v>290</v>
      </c>
      <c r="G18" s="47" t="s">
        <v>377</v>
      </c>
      <c r="H18" s="10"/>
      <c r="I18" s="10"/>
      <c r="J18" s="11"/>
    </row>
    <row r="19" spans="1:13" s="35" customFormat="1">
      <c r="A19" s="5"/>
      <c r="B19" s="31" t="s">
        <v>228</v>
      </c>
      <c r="C19" s="38"/>
      <c r="D19" s="39"/>
      <c r="E19" s="40">
        <f>SUM(E20)</f>
        <v>2000000</v>
      </c>
      <c r="F19" s="40"/>
      <c r="G19" s="40"/>
      <c r="H19" s="40"/>
      <c r="I19" s="40"/>
      <c r="J19" s="20"/>
    </row>
    <row r="20" spans="1:13" ht="96">
      <c r="A20" s="7">
        <v>10</v>
      </c>
      <c r="B20" s="8" t="s">
        <v>234</v>
      </c>
      <c r="C20" s="16" t="s">
        <v>71</v>
      </c>
      <c r="D20" s="9">
        <v>2</v>
      </c>
      <c r="E20" s="10">
        <f>1000000*2</f>
        <v>2000000</v>
      </c>
      <c r="F20" s="45" t="s">
        <v>290</v>
      </c>
      <c r="G20" s="47" t="s">
        <v>380</v>
      </c>
      <c r="H20" s="10"/>
      <c r="I20" s="10"/>
      <c r="J20" s="23" t="s">
        <v>379</v>
      </c>
    </row>
    <row r="21" spans="1:13">
      <c r="A21" s="113" t="s">
        <v>8</v>
      </c>
      <c r="B21" s="114"/>
      <c r="C21" s="114"/>
      <c r="D21" s="115"/>
      <c r="E21" s="12">
        <f>E8+E12+E19</f>
        <v>3918700</v>
      </c>
      <c r="F21" s="12"/>
      <c r="G21" s="12"/>
      <c r="H21" s="12"/>
      <c r="I21" s="12"/>
      <c r="J21" s="13"/>
    </row>
    <row r="22" spans="1:13">
      <c r="D22" s="2" t="s">
        <v>9</v>
      </c>
      <c r="M22" s="1" t="s">
        <v>9</v>
      </c>
    </row>
    <row r="23" spans="1:13">
      <c r="C23" s="3"/>
      <c r="L23" s="1" t="s">
        <v>9</v>
      </c>
    </row>
  </sheetData>
  <mergeCells count="11">
    <mergeCell ref="A2:J2"/>
    <mergeCell ref="A3:J3"/>
    <mergeCell ref="A4:J4"/>
    <mergeCell ref="F6:I6"/>
    <mergeCell ref="A21:D21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zoomScaleNormal="100" workbookViewId="0">
      <selection activeCell="G9" sqref="G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22.710937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162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18"/>
      <c r="B8" s="33" t="s">
        <v>109</v>
      </c>
      <c r="C8" s="32"/>
      <c r="D8" s="18"/>
      <c r="E8" s="19">
        <f>SUM(E9)</f>
        <v>581000</v>
      </c>
      <c r="F8" s="6"/>
      <c r="G8" s="6"/>
      <c r="H8" s="6"/>
      <c r="I8" s="6"/>
      <c r="J8" s="5"/>
    </row>
    <row r="9" spans="1:13" ht="96">
      <c r="A9" s="7">
        <v>1</v>
      </c>
      <c r="B9" s="8" t="s">
        <v>161</v>
      </c>
      <c r="C9" s="16" t="s">
        <v>163</v>
      </c>
      <c r="D9" s="9">
        <v>14</v>
      </c>
      <c r="E9" s="10">
        <f>41500*14</f>
        <v>581000</v>
      </c>
      <c r="F9" s="59" t="s">
        <v>290</v>
      </c>
      <c r="G9" s="47" t="s">
        <v>377</v>
      </c>
      <c r="H9" s="10"/>
      <c r="I9" s="10"/>
      <c r="J9" s="11"/>
    </row>
    <row r="10" spans="1:13">
      <c r="A10" s="18"/>
      <c r="B10" s="33" t="s">
        <v>228</v>
      </c>
      <c r="C10" s="32"/>
      <c r="D10" s="18"/>
      <c r="E10" s="19">
        <f>SUM(E11)</f>
        <v>850000</v>
      </c>
      <c r="F10" s="6"/>
      <c r="G10" s="6"/>
      <c r="H10" s="6"/>
      <c r="I10" s="6"/>
      <c r="J10" s="5"/>
    </row>
    <row r="11" spans="1:13" ht="96">
      <c r="A11" s="7">
        <v>2</v>
      </c>
      <c r="B11" s="8" t="s">
        <v>233</v>
      </c>
      <c r="C11" s="16" t="s">
        <v>163</v>
      </c>
      <c r="D11" s="9">
        <v>1</v>
      </c>
      <c r="E11" s="10">
        <v>850000</v>
      </c>
      <c r="F11" s="59" t="s">
        <v>290</v>
      </c>
      <c r="G11" s="47" t="s">
        <v>381</v>
      </c>
      <c r="H11" s="10"/>
      <c r="I11" s="10"/>
      <c r="J11" s="11"/>
    </row>
    <row r="12" spans="1:13">
      <c r="A12" s="113" t="s">
        <v>8</v>
      </c>
      <c r="B12" s="114"/>
      <c r="C12" s="114"/>
      <c r="D12" s="115"/>
      <c r="E12" s="12">
        <f>E8+E10</f>
        <v>1431000</v>
      </c>
      <c r="F12" s="12"/>
      <c r="G12" s="12"/>
      <c r="H12" s="12"/>
      <c r="I12" s="12"/>
      <c r="J12" s="13"/>
    </row>
    <row r="13" spans="1:13">
      <c r="D13" s="2" t="s">
        <v>9</v>
      </c>
      <c r="M13" s="1" t="s">
        <v>9</v>
      </c>
    </row>
  </sheetData>
  <mergeCells count="11">
    <mergeCell ref="A12:D12"/>
    <mergeCell ref="A2:J2"/>
    <mergeCell ref="A3:J3"/>
    <mergeCell ref="A4:J4"/>
    <mergeCell ref="A6:A7"/>
    <mergeCell ref="B6:B7"/>
    <mergeCell ref="C6:C7"/>
    <mergeCell ref="D6:D7"/>
    <mergeCell ref="E6:E7"/>
    <mergeCell ref="F6:I6"/>
    <mergeCell ref="J6:J7"/>
  </mergeCells>
  <pageMargins left="0.25" right="0.25" top="0.75" bottom="0.75" header="0.3" footer="0.3"/>
  <pageSetup paperSize="9" scale="6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2"/>
  <sheetViews>
    <sheetView topLeftCell="A13" zoomScale="85" zoomScaleNormal="85" workbookViewId="0">
      <selection activeCell="L18" sqref="L18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25.5703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143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109</v>
      </c>
      <c r="C8" s="17"/>
      <c r="D8" s="5"/>
      <c r="E8" s="6">
        <f>SUM(E9:E19)</f>
        <v>4170100</v>
      </c>
      <c r="F8" s="6"/>
      <c r="G8" s="6"/>
      <c r="H8" s="6"/>
      <c r="I8" s="6"/>
      <c r="J8" s="5"/>
    </row>
    <row r="9" spans="1:13" ht="72">
      <c r="A9" s="7">
        <v>1</v>
      </c>
      <c r="B9" s="8" t="s">
        <v>142</v>
      </c>
      <c r="C9" s="8" t="s">
        <v>144</v>
      </c>
      <c r="D9" s="9">
        <v>2</v>
      </c>
      <c r="E9" s="10">
        <f>23500*2</f>
        <v>47000</v>
      </c>
      <c r="F9" s="45" t="s">
        <v>290</v>
      </c>
      <c r="G9" s="47" t="s">
        <v>377</v>
      </c>
      <c r="H9" s="10"/>
      <c r="I9" s="45" t="s">
        <v>290</v>
      </c>
      <c r="J9" s="11"/>
      <c r="M9" s="1" t="s">
        <v>9</v>
      </c>
    </row>
    <row r="10" spans="1:13" ht="72">
      <c r="A10" s="7">
        <v>2</v>
      </c>
      <c r="B10" s="8" t="s">
        <v>145</v>
      </c>
      <c r="C10" s="8" t="s">
        <v>144</v>
      </c>
      <c r="D10" s="9">
        <v>5</v>
      </c>
      <c r="E10" s="10">
        <f>25700*5</f>
        <v>128500</v>
      </c>
      <c r="F10" s="45" t="s">
        <v>290</v>
      </c>
      <c r="G10" s="47" t="s">
        <v>377</v>
      </c>
      <c r="H10" s="10"/>
      <c r="I10" s="45" t="s">
        <v>290</v>
      </c>
      <c r="J10" s="11"/>
      <c r="L10" s="1" t="s">
        <v>9</v>
      </c>
    </row>
    <row r="11" spans="1:13" ht="72">
      <c r="A11" s="7">
        <v>3</v>
      </c>
      <c r="B11" s="8" t="s">
        <v>147</v>
      </c>
      <c r="C11" s="8" t="s">
        <v>144</v>
      </c>
      <c r="D11" s="9">
        <v>4</v>
      </c>
      <c r="E11" s="10">
        <f>27200*4</f>
        <v>108800</v>
      </c>
      <c r="F11" s="45" t="s">
        <v>290</v>
      </c>
      <c r="G11" s="47" t="s">
        <v>377</v>
      </c>
      <c r="H11" s="10"/>
      <c r="I11" s="45" t="s">
        <v>290</v>
      </c>
      <c r="J11" s="11"/>
    </row>
    <row r="12" spans="1:13" ht="72">
      <c r="A12" s="7">
        <v>4</v>
      </c>
      <c r="B12" s="8" t="s">
        <v>151</v>
      </c>
      <c r="C12" s="8" t="s">
        <v>144</v>
      </c>
      <c r="D12" s="9">
        <v>37</v>
      </c>
      <c r="E12" s="10">
        <f>32200*37</f>
        <v>1191400</v>
      </c>
      <c r="F12" s="45" t="s">
        <v>290</v>
      </c>
      <c r="G12" s="47" t="s">
        <v>377</v>
      </c>
      <c r="H12" s="10"/>
      <c r="I12" s="45" t="s">
        <v>290</v>
      </c>
      <c r="J12" s="11"/>
    </row>
    <row r="13" spans="1:13" ht="72">
      <c r="A13" s="7">
        <v>5</v>
      </c>
      <c r="B13" s="8" t="s">
        <v>161</v>
      </c>
      <c r="C13" s="8" t="s">
        <v>144</v>
      </c>
      <c r="D13" s="9">
        <v>12</v>
      </c>
      <c r="E13" s="10">
        <f>41500*12</f>
        <v>498000</v>
      </c>
      <c r="F13" s="45" t="s">
        <v>290</v>
      </c>
      <c r="G13" s="47" t="s">
        <v>377</v>
      </c>
      <c r="H13" s="10"/>
      <c r="I13" s="45" t="s">
        <v>290</v>
      </c>
      <c r="J13" s="11"/>
    </row>
    <row r="14" spans="1:13" ht="72">
      <c r="A14" s="7">
        <v>6</v>
      </c>
      <c r="B14" s="8" t="s">
        <v>171</v>
      </c>
      <c r="C14" s="8" t="s">
        <v>144</v>
      </c>
      <c r="D14" s="9">
        <v>12</v>
      </c>
      <c r="E14" s="10">
        <f>45500*12</f>
        <v>546000</v>
      </c>
      <c r="F14" s="45" t="s">
        <v>290</v>
      </c>
      <c r="G14" s="47" t="s">
        <v>377</v>
      </c>
      <c r="H14" s="10"/>
      <c r="I14" s="45" t="s">
        <v>290</v>
      </c>
      <c r="J14" s="11"/>
    </row>
    <row r="15" spans="1:13" ht="48">
      <c r="A15" s="7">
        <v>7</v>
      </c>
      <c r="B15" s="8" t="s">
        <v>187</v>
      </c>
      <c r="C15" s="8" t="s">
        <v>144</v>
      </c>
      <c r="D15" s="9">
        <v>12</v>
      </c>
      <c r="E15" s="10">
        <f>19200*12</f>
        <v>230400</v>
      </c>
      <c r="F15" s="45" t="s">
        <v>290</v>
      </c>
      <c r="G15" s="58"/>
      <c r="H15" s="10"/>
      <c r="I15" s="10"/>
      <c r="J15" s="11"/>
    </row>
    <row r="16" spans="1:13" ht="48">
      <c r="A16" s="7">
        <v>8</v>
      </c>
      <c r="B16" s="8" t="s">
        <v>190</v>
      </c>
      <c r="C16" s="8" t="s">
        <v>144</v>
      </c>
      <c r="D16" s="9">
        <v>30</v>
      </c>
      <c r="E16" s="10">
        <f>4500*30</f>
        <v>135000</v>
      </c>
      <c r="F16" s="45" t="s">
        <v>290</v>
      </c>
      <c r="G16" s="58"/>
      <c r="H16" s="10"/>
      <c r="I16" s="10"/>
      <c r="J16" s="11"/>
    </row>
    <row r="17" spans="1:13">
      <c r="A17" s="7">
        <v>9</v>
      </c>
      <c r="B17" s="8" t="s">
        <v>191</v>
      </c>
      <c r="C17" s="8" t="s">
        <v>144</v>
      </c>
      <c r="D17" s="9">
        <v>296</v>
      </c>
      <c r="E17" s="10">
        <f>3500*296</f>
        <v>1036000</v>
      </c>
      <c r="F17" s="45" t="s">
        <v>290</v>
      </c>
      <c r="G17" s="58"/>
      <c r="H17" s="10"/>
      <c r="I17" s="10"/>
      <c r="J17" s="11"/>
    </row>
    <row r="18" spans="1:13" ht="48">
      <c r="A18" s="7">
        <v>10</v>
      </c>
      <c r="B18" s="8" t="s">
        <v>199</v>
      </c>
      <c r="C18" s="8" t="s">
        <v>144</v>
      </c>
      <c r="D18" s="9">
        <v>20</v>
      </c>
      <c r="E18" s="10">
        <f>5700*20</f>
        <v>114000</v>
      </c>
      <c r="F18" s="45" t="s">
        <v>290</v>
      </c>
      <c r="G18" s="58"/>
      <c r="H18" s="10"/>
      <c r="I18" s="10"/>
      <c r="J18" s="11"/>
    </row>
    <row r="19" spans="1:13">
      <c r="A19" s="7">
        <v>11</v>
      </c>
      <c r="B19" s="8" t="s">
        <v>200</v>
      </c>
      <c r="C19" s="8" t="s">
        <v>144</v>
      </c>
      <c r="D19" s="9">
        <v>30</v>
      </c>
      <c r="E19" s="10">
        <f>4500*30</f>
        <v>135000</v>
      </c>
      <c r="F19" s="45" t="s">
        <v>290</v>
      </c>
      <c r="G19" s="58"/>
      <c r="H19" s="10"/>
      <c r="I19" s="10"/>
      <c r="J19" s="11"/>
    </row>
    <row r="20" spans="1:13">
      <c r="A20" s="113" t="s">
        <v>8</v>
      </c>
      <c r="B20" s="114"/>
      <c r="C20" s="114"/>
      <c r="D20" s="115"/>
      <c r="E20" s="12">
        <f>E8</f>
        <v>4170100</v>
      </c>
      <c r="F20" s="12"/>
      <c r="G20" s="12"/>
      <c r="H20" s="12"/>
      <c r="I20" s="12"/>
      <c r="J20" s="13"/>
    </row>
    <row r="21" spans="1:13">
      <c r="D21" s="2" t="s">
        <v>9</v>
      </c>
      <c r="M21" s="1" t="s">
        <v>9</v>
      </c>
    </row>
    <row r="22" spans="1:13">
      <c r="L22" s="1" t="s">
        <v>9</v>
      </c>
    </row>
  </sheetData>
  <mergeCells count="11">
    <mergeCell ref="A2:J2"/>
    <mergeCell ref="A3:J3"/>
    <mergeCell ref="A4:J4"/>
    <mergeCell ref="F6:I6"/>
    <mergeCell ref="A20:D2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12"/>
  <sheetViews>
    <sheetView zoomScale="85" zoomScaleNormal="85" workbookViewId="0">
      <selection activeCell="L11" sqref="L11"/>
    </sheetView>
  </sheetViews>
  <sheetFormatPr defaultColWidth="9" defaultRowHeight="24"/>
  <cols>
    <col min="1" max="1" width="9" style="2"/>
    <col min="2" max="2" width="46" style="3" customWidth="1"/>
    <col min="3" max="3" width="16.570312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16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17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J5" s="2" t="s">
        <v>2</v>
      </c>
    </row>
    <row r="6" spans="1:14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4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4">
      <c r="A8" s="5"/>
      <c r="B8" s="20" t="s">
        <v>109</v>
      </c>
      <c r="C8" s="5"/>
      <c r="D8" s="5"/>
      <c r="E8" s="6">
        <f>SUM(E9)</f>
        <v>53600</v>
      </c>
      <c r="F8" s="6"/>
      <c r="G8" s="6"/>
      <c r="H8" s="6"/>
      <c r="I8" s="6"/>
      <c r="J8" s="5"/>
      <c r="N8" s="1" t="s">
        <v>9</v>
      </c>
    </row>
    <row r="9" spans="1:14" ht="48">
      <c r="A9" s="7">
        <v>1</v>
      </c>
      <c r="B9" s="23" t="s">
        <v>131</v>
      </c>
      <c r="C9" s="16" t="s">
        <v>16</v>
      </c>
      <c r="D9" s="7">
        <v>1</v>
      </c>
      <c r="E9" s="25">
        <f>53600*1</f>
        <v>53600</v>
      </c>
      <c r="F9" s="22" t="s">
        <v>290</v>
      </c>
      <c r="G9" s="60" t="s">
        <v>323</v>
      </c>
      <c r="H9" s="22"/>
      <c r="I9" s="22"/>
      <c r="J9" s="7"/>
      <c r="N9" s="1" t="s">
        <v>9</v>
      </c>
    </row>
    <row r="10" spans="1:14">
      <c r="A10" s="5"/>
      <c r="B10" s="20" t="s">
        <v>247</v>
      </c>
      <c r="C10" s="5"/>
      <c r="D10" s="5"/>
      <c r="E10" s="43">
        <f>SUM(E11)</f>
        <v>313900</v>
      </c>
      <c r="F10" s="5"/>
      <c r="G10" s="5"/>
      <c r="H10" s="5"/>
      <c r="I10" s="5"/>
      <c r="J10" s="5"/>
    </row>
    <row r="11" spans="1:14" ht="72">
      <c r="A11" s="7">
        <v>2</v>
      </c>
      <c r="B11" s="8" t="s">
        <v>15</v>
      </c>
      <c r="C11" s="16" t="s">
        <v>16</v>
      </c>
      <c r="D11" s="9">
        <v>1</v>
      </c>
      <c r="E11" s="10">
        <v>313900</v>
      </c>
      <c r="F11" s="22" t="s">
        <v>290</v>
      </c>
      <c r="G11" s="10"/>
      <c r="H11" s="10" t="s">
        <v>382</v>
      </c>
      <c r="I11" s="10"/>
      <c r="J11" s="11"/>
      <c r="L11" s="1" t="s">
        <v>9</v>
      </c>
    </row>
    <row r="12" spans="1:14">
      <c r="A12" s="113" t="s">
        <v>8</v>
      </c>
      <c r="B12" s="114"/>
      <c r="C12" s="114"/>
      <c r="D12" s="115"/>
      <c r="E12" s="12">
        <f>E8+E10</f>
        <v>367500</v>
      </c>
      <c r="F12" s="12"/>
      <c r="G12" s="12"/>
      <c r="H12" s="12"/>
      <c r="I12" s="12"/>
      <c r="J12" s="13"/>
    </row>
  </sheetData>
  <mergeCells count="11">
    <mergeCell ref="A2:J2"/>
    <mergeCell ref="A3:J3"/>
    <mergeCell ref="A4:J4"/>
    <mergeCell ref="A12:D12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5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topLeftCell="A2"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192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109</v>
      </c>
      <c r="C8" s="17"/>
      <c r="D8" s="5"/>
      <c r="E8" s="6"/>
      <c r="F8" s="6"/>
      <c r="G8" s="6"/>
      <c r="H8" s="6"/>
      <c r="I8" s="6"/>
      <c r="J8" s="5"/>
    </row>
    <row r="9" spans="1:13">
      <c r="A9" s="7">
        <v>1</v>
      </c>
      <c r="B9" s="8" t="s">
        <v>191</v>
      </c>
      <c r="C9" s="16" t="s">
        <v>193</v>
      </c>
      <c r="D9" s="9">
        <v>100</v>
      </c>
      <c r="E9" s="10">
        <f>3500*100</f>
        <v>350000</v>
      </c>
      <c r="F9" s="45" t="s">
        <v>290</v>
      </c>
      <c r="G9" s="58"/>
      <c r="H9" s="58"/>
      <c r="I9" s="10"/>
      <c r="J9" s="11"/>
    </row>
    <row r="10" spans="1:13">
      <c r="A10" s="113" t="s">
        <v>8</v>
      </c>
      <c r="B10" s="114"/>
      <c r="C10" s="114"/>
      <c r="D10" s="115"/>
      <c r="E10" s="12">
        <f>SUM(E9:E9)</f>
        <v>350000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C12" s="3"/>
      <c r="L12" s="1" t="s">
        <v>9</v>
      </c>
    </row>
    <row r="14" spans="1:13">
      <c r="K14" s="1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4"/>
  <sheetViews>
    <sheetView topLeftCell="A5" zoomScaleNormal="100" workbookViewId="0">
      <selection activeCell="F10" sqref="F10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4.85546875" style="4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32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107</v>
      </c>
      <c r="C8" s="17"/>
      <c r="D8" s="5"/>
      <c r="E8" s="6"/>
      <c r="F8" s="6"/>
      <c r="G8" s="6"/>
      <c r="H8" s="6"/>
      <c r="I8" s="6"/>
      <c r="J8" s="5"/>
    </row>
    <row r="9" spans="1:13" ht="48">
      <c r="A9" s="7">
        <v>1</v>
      </c>
      <c r="B9" s="23" t="s">
        <v>105</v>
      </c>
      <c r="C9" s="24" t="s">
        <v>106</v>
      </c>
      <c r="D9" s="7">
        <v>1</v>
      </c>
      <c r="E9" s="25">
        <f>830000*1</f>
        <v>830000</v>
      </c>
      <c r="F9" s="61" t="s">
        <v>383</v>
      </c>
      <c r="G9" s="25"/>
      <c r="H9" s="25"/>
      <c r="I9" s="25"/>
      <c r="J9" s="7"/>
    </row>
    <row r="10" spans="1:13">
      <c r="A10" s="5"/>
      <c r="B10" s="20" t="s">
        <v>231</v>
      </c>
      <c r="C10" s="17"/>
      <c r="D10" s="5"/>
      <c r="E10" s="6"/>
      <c r="F10" s="6"/>
      <c r="G10" s="6"/>
      <c r="H10" s="6"/>
      <c r="I10" s="6"/>
      <c r="J10" s="5"/>
      <c r="L10" s="1" t="s">
        <v>9</v>
      </c>
    </row>
    <row r="11" spans="1:13" ht="72">
      <c r="A11" s="7">
        <v>2</v>
      </c>
      <c r="B11" s="8" t="s">
        <v>30</v>
      </c>
      <c r="C11" s="16" t="s">
        <v>31</v>
      </c>
      <c r="D11" s="9">
        <v>1</v>
      </c>
      <c r="E11" s="10">
        <v>830000</v>
      </c>
      <c r="F11" s="45" t="s">
        <v>290</v>
      </c>
      <c r="G11" s="47" t="s">
        <v>323</v>
      </c>
      <c r="H11" s="10"/>
      <c r="I11" s="10"/>
      <c r="J11" s="11"/>
      <c r="L11" s="1" t="s">
        <v>9</v>
      </c>
    </row>
    <row r="12" spans="1:13">
      <c r="A12" s="113" t="s">
        <v>8</v>
      </c>
      <c r="B12" s="114"/>
      <c r="C12" s="114"/>
      <c r="D12" s="115"/>
      <c r="E12" s="12">
        <f>E9+E11</f>
        <v>1660000</v>
      </c>
      <c r="F12" s="12"/>
      <c r="G12" s="12"/>
      <c r="H12" s="12"/>
      <c r="I12" s="12"/>
      <c r="J12" s="13"/>
    </row>
    <row r="13" spans="1:13">
      <c r="C13" s="2" t="s">
        <v>9</v>
      </c>
      <c r="D13" s="2" t="s">
        <v>9</v>
      </c>
      <c r="M13" s="1" t="s">
        <v>9</v>
      </c>
    </row>
    <row r="14" spans="1:13">
      <c r="H14" s="4" t="s">
        <v>9</v>
      </c>
    </row>
  </sheetData>
  <mergeCells count="11">
    <mergeCell ref="A2:J2"/>
    <mergeCell ref="A3:J3"/>
    <mergeCell ref="A4:J4"/>
    <mergeCell ref="A12:D12"/>
    <mergeCell ref="A6:A7"/>
    <mergeCell ref="B6:B7"/>
    <mergeCell ref="C6:C7"/>
    <mergeCell ref="D6:D7"/>
    <mergeCell ref="E6:E7"/>
    <mergeCell ref="F6:I6"/>
    <mergeCell ref="J6:J7"/>
  </mergeCells>
  <pageMargins left="0.25" right="0.25" top="0.75" bottom="0.75" header="0.3" footer="0.3"/>
  <pageSetup paperSize="9" scale="6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topLeftCell="A4" zoomScale="85" zoomScaleNormal="85" workbookViewId="0">
      <selection activeCell="B13" sqref="B13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109</v>
      </c>
      <c r="C8" s="17"/>
      <c r="D8" s="5"/>
      <c r="E8" s="6"/>
      <c r="F8" s="29"/>
      <c r="G8" s="29"/>
      <c r="H8" s="29"/>
      <c r="I8" s="29"/>
      <c r="J8" s="5"/>
    </row>
    <row r="9" spans="1:13" ht="48">
      <c r="A9" s="7">
        <v>1</v>
      </c>
      <c r="B9" s="23" t="s">
        <v>181</v>
      </c>
      <c r="C9" s="24" t="s">
        <v>34</v>
      </c>
      <c r="D9" s="7">
        <v>1</v>
      </c>
      <c r="E9" s="25">
        <f>77000*1</f>
        <v>77000</v>
      </c>
      <c r="F9" s="58" t="s">
        <v>342</v>
      </c>
      <c r="G9" s="47" t="s">
        <v>323</v>
      </c>
      <c r="H9" s="10"/>
      <c r="I9" s="10"/>
      <c r="J9" s="7"/>
    </row>
    <row r="10" spans="1:13">
      <c r="A10" s="5"/>
      <c r="B10" s="20" t="s">
        <v>256</v>
      </c>
      <c r="C10" s="17"/>
      <c r="D10" s="5"/>
      <c r="E10" s="6"/>
      <c r="F10" s="29"/>
      <c r="G10" s="29"/>
      <c r="H10" s="29"/>
      <c r="I10" s="29"/>
      <c r="J10" s="5"/>
    </row>
    <row r="11" spans="1:13" ht="48">
      <c r="A11" s="7">
        <v>2</v>
      </c>
      <c r="B11" s="8" t="s">
        <v>270</v>
      </c>
      <c r="C11" s="16" t="s">
        <v>34</v>
      </c>
      <c r="D11" s="9">
        <v>1</v>
      </c>
      <c r="E11" s="10">
        <v>21500</v>
      </c>
      <c r="F11" s="58"/>
      <c r="G11" s="10"/>
      <c r="H11" s="10"/>
      <c r="I11" s="10"/>
      <c r="J11" s="11"/>
      <c r="M11" s="1" t="s">
        <v>9</v>
      </c>
    </row>
    <row r="12" spans="1:13">
      <c r="A12" s="5"/>
      <c r="B12" s="20" t="s">
        <v>146</v>
      </c>
      <c r="C12" s="17"/>
      <c r="D12" s="5"/>
      <c r="E12" s="6"/>
      <c r="F12" s="29"/>
      <c r="G12" s="29"/>
      <c r="H12" s="29"/>
      <c r="I12" s="29"/>
      <c r="J12" s="5"/>
      <c r="M12" s="1" t="s">
        <v>9</v>
      </c>
    </row>
    <row r="13" spans="1:13" ht="72">
      <c r="A13" s="7">
        <v>3</v>
      </c>
      <c r="B13" s="8" t="s">
        <v>33</v>
      </c>
      <c r="C13" s="16" t="s">
        <v>34</v>
      </c>
      <c r="D13" s="9">
        <v>1</v>
      </c>
      <c r="E13" s="10">
        <v>84300</v>
      </c>
      <c r="F13" s="58"/>
      <c r="G13" s="10"/>
      <c r="H13" s="10"/>
      <c r="I13" s="10"/>
      <c r="J13" s="11"/>
      <c r="L13" s="1" t="s">
        <v>9</v>
      </c>
    </row>
    <row r="14" spans="1:13">
      <c r="A14" s="113" t="s">
        <v>8</v>
      </c>
      <c r="B14" s="114"/>
      <c r="C14" s="114"/>
      <c r="D14" s="115"/>
      <c r="E14" s="12">
        <f>E9+E11+E13</f>
        <v>182800</v>
      </c>
      <c r="F14" s="13"/>
      <c r="G14" s="13"/>
      <c r="H14" s="13"/>
      <c r="I14" s="13"/>
      <c r="J14" s="13"/>
    </row>
  </sheetData>
  <mergeCells count="11">
    <mergeCell ref="A2:J2"/>
    <mergeCell ref="A3:J3"/>
    <mergeCell ref="A4:J4"/>
    <mergeCell ref="A14:D14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5"/>
  <sheetViews>
    <sheetView zoomScaleNormal="100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20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174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109</v>
      </c>
      <c r="C8" s="17"/>
      <c r="D8" s="5"/>
      <c r="E8" s="6"/>
      <c r="F8" s="6"/>
      <c r="G8" s="6"/>
      <c r="H8" s="6"/>
      <c r="I8" s="6"/>
      <c r="J8" s="5"/>
    </row>
    <row r="9" spans="1:13" ht="96">
      <c r="A9" s="7">
        <v>1</v>
      </c>
      <c r="B9" s="8" t="s">
        <v>171</v>
      </c>
      <c r="C9" s="16" t="s">
        <v>175</v>
      </c>
      <c r="D9" s="9">
        <v>3</v>
      </c>
      <c r="E9" s="10">
        <f>45500*3</f>
        <v>136500</v>
      </c>
      <c r="F9" s="10" t="s">
        <v>342</v>
      </c>
      <c r="G9" s="10" t="s">
        <v>384</v>
      </c>
      <c r="H9" s="10"/>
      <c r="I9" s="10"/>
      <c r="J9" s="23" t="s">
        <v>385</v>
      </c>
    </row>
    <row r="10" spans="1:13">
      <c r="A10" s="113" t="s">
        <v>8</v>
      </c>
      <c r="B10" s="114"/>
      <c r="C10" s="114"/>
      <c r="D10" s="115"/>
      <c r="E10" s="12">
        <f>SUM(E9:E9)</f>
        <v>136500</v>
      </c>
      <c r="F10" s="12"/>
      <c r="G10" s="12"/>
      <c r="H10" s="12"/>
      <c r="I10" s="12"/>
      <c r="J10" s="13"/>
    </row>
    <row r="11" spans="1:13">
      <c r="D11" s="2" t="s">
        <v>9</v>
      </c>
      <c r="M11" s="1" t="s">
        <v>9</v>
      </c>
    </row>
    <row r="12" spans="1:13">
      <c r="C12" s="3"/>
      <c r="L12" s="1" t="s">
        <v>9</v>
      </c>
    </row>
    <row r="15" spans="1:13">
      <c r="H15" s="4" t="s">
        <v>9</v>
      </c>
    </row>
  </sheetData>
  <mergeCells count="11">
    <mergeCell ref="A2:J2"/>
    <mergeCell ref="A3:J3"/>
    <mergeCell ref="A4:J4"/>
    <mergeCell ref="F6:I6"/>
    <mergeCell ref="A10:D10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zoomScaleNormal="100" workbookViewId="0">
      <selection activeCell="B11" sqref="B11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102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B5" s="3" t="s">
        <v>9</v>
      </c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  <c r="L7" s="1" t="s">
        <v>9</v>
      </c>
    </row>
    <row r="8" spans="1:13">
      <c r="A8" s="5"/>
      <c r="B8" s="20" t="s">
        <v>107</v>
      </c>
      <c r="C8" s="17"/>
      <c r="D8" s="5"/>
      <c r="E8" s="6"/>
      <c r="F8" s="6"/>
      <c r="G8" s="6"/>
      <c r="H8" s="6"/>
      <c r="I8" s="6"/>
      <c r="J8" s="5"/>
    </row>
    <row r="9" spans="1:13" ht="48">
      <c r="A9" s="7">
        <v>1</v>
      </c>
      <c r="B9" s="8" t="s">
        <v>103</v>
      </c>
      <c r="C9" s="16" t="s">
        <v>104</v>
      </c>
      <c r="D9" s="9">
        <v>1</v>
      </c>
      <c r="E9" s="10">
        <f>8300*1</f>
        <v>8300</v>
      </c>
      <c r="F9" s="58" t="s">
        <v>386</v>
      </c>
      <c r="G9" s="58"/>
      <c r="H9" s="58"/>
      <c r="I9" s="58"/>
      <c r="J9" s="62"/>
    </row>
    <row r="10" spans="1:13">
      <c r="A10" s="5"/>
      <c r="B10" s="20" t="s">
        <v>281</v>
      </c>
      <c r="C10" s="17"/>
      <c r="D10" s="5"/>
      <c r="E10" s="6"/>
      <c r="F10" s="6"/>
      <c r="G10" s="6"/>
      <c r="H10" s="6"/>
      <c r="I10" s="6"/>
      <c r="J10" s="5"/>
    </row>
    <row r="11" spans="1:13" ht="48">
      <c r="A11" s="7">
        <v>2</v>
      </c>
      <c r="B11" s="8" t="s">
        <v>171</v>
      </c>
      <c r="C11" s="16" t="s">
        <v>104</v>
      </c>
      <c r="D11" s="9">
        <v>1</v>
      </c>
      <c r="E11" s="10">
        <f>45500*1</f>
        <v>45500</v>
      </c>
      <c r="F11" s="58" t="s">
        <v>386</v>
      </c>
      <c r="G11" s="58"/>
      <c r="H11" s="58"/>
      <c r="I11" s="58"/>
      <c r="J11" s="62"/>
    </row>
    <row r="12" spans="1:13">
      <c r="A12" s="113" t="s">
        <v>8</v>
      </c>
      <c r="B12" s="114"/>
      <c r="C12" s="114"/>
      <c r="D12" s="115"/>
      <c r="E12" s="12">
        <f>E9+E11</f>
        <v>53800</v>
      </c>
      <c r="F12" s="12"/>
      <c r="G12" s="12"/>
      <c r="H12" s="12"/>
      <c r="I12" s="12"/>
      <c r="J12" s="13"/>
    </row>
    <row r="13" spans="1:13">
      <c r="D13" s="2" t="s">
        <v>9</v>
      </c>
      <c r="M13" s="1" t="s">
        <v>9</v>
      </c>
    </row>
    <row r="14" spans="1:13">
      <c r="C14" s="3"/>
      <c r="F14" s="4" t="s">
        <v>9</v>
      </c>
      <c r="L14" s="1" t="s">
        <v>9</v>
      </c>
    </row>
  </sheetData>
  <mergeCells count="11">
    <mergeCell ref="A2:J2"/>
    <mergeCell ref="A3:J3"/>
    <mergeCell ref="A4:J4"/>
    <mergeCell ref="F6:I6"/>
    <mergeCell ref="A12:D12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0"/>
  <sheetViews>
    <sheetView topLeftCell="A10" zoomScaleNormal="100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43" style="4" customWidth="1"/>
    <col min="8" max="9" width="13.42578125" style="4" customWidth="1"/>
    <col min="10" max="10" width="15.7109375" style="3" bestFit="1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125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  <c r="L7" s="1" t="s">
        <v>9</v>
      </c>
    </row>
    <row r="8" spans="1:12">
      <c r="A8" s="5"/>
      <c r="B8" s="20" t="s">
        <v>109</v>
      </c>
      <c r="C8" s="17"/>
      <c r="D8" s="5"/>
      <c r="E8" s="6">
        <f>SUM(E9:E15)</f>
        <v>1390940</v>
      </c>
      <c r="F8" s="6"/>
      <c r="G8" s="6"/>
      <c r="H8" s="6"/>
      <c r="I8" s="6"/>
      <c r="J8" s="5"/>
    </row>
    <row r="9" spans="1:12" ht="48">
      <c r="A9" s="7">
        <v>1</v>
      </c>
      <c r="B9" s="8" t="s">
        <v>124</v>
      </c>
      <c r="C9" s="16" t="s">
        <v>126</v>
      </c>
      <c r="D9" s="9">
        <v>2</v>
      </c>
      <c r="E9" s="10">
        <f>69900*2</f>
        <v>139800</v>
      </c>
      <c r="F9" s="46" t="s">
        <v>290</v>
      </c>
      <c r="G9" s="47" t="s">
        <v>305</v>
      </c>
      <c r="H9" s="10"/>
      <c r="I9" s="10"/>
      <c r="J9" s="11"/>
    </row>
    <row r="10" spans="1:12">
      <c r="A10" s="7">
        <v>2</v>
      </c>
      <c r="B10" s="8" t="s">
        <v>183</v>
      </c>
      <c r="C10" s="16" t="s">
        <v>126</v>
      </c>
      <c r="D10" s="9">
        <v>1</v>
      </c>
      <c r="E10" s="10">
        <f>11300*1</f>
        <v>11300</v>
      </c>
      <c r="F10" s="46" t="s">
        <v>290</v>
      </c>
      <c r="G10" s="10" t="s">
        <v>306</v>
      </c>
      <c r="H10" s="10"/>
      <c r="I10" s="10"/>
      <c r="J10" s="11"/>
    </row>
    <row r="11" spans="1:12" ht="48">
      <c r="A11" s="7">
        <v>3</v>
      </c>
      <c r="B11" s="8" t="s">
        <v>184</v>
      </c>
      <c r="C11" s="16" t="s">
        <v>126</v>
      </c>
      <c r="D11" s="9">
        <v>26</v>
      </c>
      <c r="E11" s="10">
        <f>13180*26</f>
        <v>342680</v>
      </c>
      <c r="F11" s="46" t="s">
        <v>290</v>
      </c>
      <c r="G11" s="10" t="s">
        <v>306</v>
      </c>
      <c r="H11" s="10"/>
      <c r="I11" s="10"/>
      <c r="J11" s="11"/>
    </row>
    <row r="12" spans="1:12" ht="48">
      <c r="A12" s="7">
        <v>4</v>
      </c>
      <c r="B12" s="8" t="s">
        <v>187</v>
      </c>
      <c r="C12" s="16" t="s">
        <v>126</v>
      </c>
      <c r="D12" s="9">
        <v>1</v>
      </c>
      <c r="E12" s="10">
        <f>19200*1</f>
        <v>19200</v>
      </c>
      <c r="F12" s="46" t="s">
        <v>290</v>
      </c>
      <c r="G12" s="10" t="s">
        <v>306</v>
      </c>
      <c r="H12" s="10"/>
      <c r="I12" s="10"/>
      <c r="J12" s="11"/>
    </row>
    <row r="13" spans="1:12" ht="48">
      <c r="A13" s="7">
        <v>5</v>
      </c>
      <c r="B13" s="8" t="s">
        <v>190</v>
      </c>
      <c r="C13" s="16" t="s">
        <v>126</v>
      </c>
      <c r="D13" s="9">
        <v>26</v>
      </c>
      <c r="E13" s="10">
        <f>4500*26</f>
        <v>117000</v>
      </c>
      <c r="F13" s="46" t="s">
        <v>290</v>
      </c>
      <c r="G13" s="10" t="s">
        <v>306</v>
      </c>
      <c r="H13" s="10"/>
      <c r="I13" s="10"/>
      <c r="J13" s="11"/>
    </row>
    <row r="14" spans="1:12">
      <c r="A14" s="7">
        <v>6</v>
      </c>
      <c r="B14" s="8" t="s">
        <v>194</v>
      </c>
      <c r="C14" s="16" t="s">
        <v>126</v>
      </c>
      <c r="D14" s="9">
        <v>8</v>
      </c>
      <c r="E14" s="10">
        <f>63120*8</f>
        <v>504960</v>
      </c>
      <c r="F14" s="46" t="s">
        <v>290</v>
      </c>
      <c r="G14" s="10" t="s">
        <v>306</v>
      </c>
      <c r="H14" s="10"/>
      <c r="I14" s="10"/>
      <c r="J14" s="11"/>
    </row>
    <row r="15" spans="1:12">
      <c r="A15" s="7">
        <v>7</v>
      </c>
      <c r="B15" s="8" t="s">
        <v>195</v>
      </c>
      <c r="C15" s="16" t="s">
        <v>126</v>
      </c>
      <c r="D15" s="9">
        <v>8</v>
      </c>
      <c r="E15" s="10">
        <f>32000*8</f>
        <v>256000</v>
      </c>
      <c r="F15" s="46" t="s">
        <v>290</v>
      </c>
      <c r="G15" s="10" t="s">
        <v>306</v>
      </c>
      <c r="H15" s="10"/>
      <c r="I15" s="10"/>
      <c r="J15" s="11"/>
    </row>
    <row r="16" spans="1:12">
      <c r="A16" s="26"/>
      <c r="B16" s="31" t="s">
        <v>227</v>
      </c>
      <c r="C16" s="27"/>
      <c r="D16" s="28"/>
      <c r="E16" s="40">
        <f>SUM(E17)</f>
        <v>965000</v>
      </c>
      <c r="F16" s="29"/>
      <c r="G16" s="29"/>
      <c r="H16" s="29"/>
      <c r="I16" s="29"/>
      <c r="J16" s="30"/>
    </row>
    <row r="17" spans="1:13" ht="72">
      <c r="A17" s="7">
        <v>8</v>
      </c>
      <c r="B17" s="8" t="s">
        <v>230</v>
      </c>
      <c r="C17" s="16" t="s">
        <v>126</v>
      </c>
      <c r="D17" s="9">
        <v>1</v>
      </c>
      <c r="E17" s="10">
        <v>965000</v>
      </c>
      <c r="F17" s="46" t="s">
        <v>290</v>
      </c>
      <c r="G17" s="47" t="s">
        <v>307</v>
      </c>
      <c r="H17" s="10"/>
      <c r="I17" s="46" t="s">
        <v>290</v>
      </c>
      <c r="J17" s="23" t="s">
        <v>308</v>
      </c>
    </row>
    <row r="18" spans="1:13">
      <c r="A18" s="113" t="s">
        <v>8</v>
      </c>
      <c r="B18" s="114"/>
      <c r="C18" s="114"/>
      <c r="D18" s="115"/>
      <c r="E18" s="12">
        <f>E8+E16</f>
        <v>2355940</v>
      </c>
      <c r="F18" s="12"/>
      <c r="G18" s="12"/>
      <c r="H18" s="12"/>
      <c r="I18" s="12"/>
      <c r="J18" s="13"/>
    </row>
    <row r="19" spans="1:13">
      <c r="D19" s="2" t="s">
        <v>9</v>
      </c>
      <c r="M19" s="1" t="s">
        <v>9</v>
      </c>
    </row>
    <row r="20" spans="1:13">
      <c r="L20" s="1" t="s">
        <v>9</v>
      </c>
    </row>
  </sheetData>
  <mergeCells count="11">
    <mergeCell ref="A2:J2"/>
    <mergeCell ref="A3:J3"/>
    <mergeCell ref="A4:J4"/>
    <mergeCell ref="F6:I6"/>
    <mergeCell ref="A18:D18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9"/>
  <sheetViews>
    <sheetView zoomScaleNormal="100" workbookViewId="0">
      <selection activeCell="H15" sqref="H15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35.1406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2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2">
      <c r="A8" s="5"/>
      <c r="B8" s="20" t="s">
        <v>107</v>
      </c>
      <c r="C8" s="17"/>
      <c r="D8" s="5"/>
      <c r="E8" s="6">
        <f>SUM(E9:E10)</f>
        <v>90000</v>
      </c>
      <c r="F8" s="6"/>
      <c r="G8" s="6"/>
      <c r="H8" s="6"/>
      <c r="I8" s="6"/>
      <c r="J8" s="5"/>
    </row>
    <row r="9" spans="1:12" ht="120">
      <c r="A9" s="7">
        <v>1</v>
      </c>
      <c r="B9" s="8" t="s">
        <v>60</v>
      </c>
      <c r="C9" s="16" t="s">
        <v>63</v>
      </c>
      <c r="D9" s="9">
        <v>2</v>
      </c>
      <c r="E9" s="10">
        <f>30000*2</f>
        <v>60000</v>
      </c>
      <c r="F9" s="45" t="s">
        <v>290</v>
      </c>
      <c r="G9" s="47" t="s">
        <v>388</v>
      </c>
      <c r="H9" s="10" t="s">
        <v>9</v>
      </c>
      <c r="I9" s="10"/>
      <c r="J9" s="11"/>
      <c r="L9" s="1" t="s">
        <v>9</v>
      </c>
    </row>
    <row r="10" spans="1:12" ht="120">
      <c r="A10" s="7">
        <v>2</v>
      </c>
      <c r="B10" s="8" t="s">
        <v>93</v>
      </c>
      <c r="C10" s="16" t="s">
        <v>63</v>
      </c>
      <c r="D10" s="9">
        <v>12</v>
      </c>
      <c r="E10" s="10">
        <f>2500*12</f>
        <v>30000</v>
      </c>
      <c r="F10" s="45" t="s">
        <v>290</v>
      </c>
      <c r="G10" s="47" t="s">
        <v>387</v>
      </c>
      <c r="H10" s="10"/>
      <c r="I10" s="10"/>
      <c r="J10" s="11"/>
    </row>
    <row r="11" spans="1:12">
      <c r="A11" s="5"/>
      <c r="B11" s="20" t="s">
        <v>109</v>
      </c>
      <c r="C11" s="17"/>
      <c r="D11" s="5"/>
      <c r="E11" s="6">
        <f>SUM(E12:E13)</f>
        <v>70400</v>
      </c>
      <c r="F11" s="6"/>
      <c r="G11" s="6"/>
      <c r="H11" s="6"/>
      <c r="I11" s="6"/>
      <c r="J11" s="5"/>
    </row>
    <row r="12" spans="1:12" ht="48">
      <c r="A12" s="7">
        <v>3</v>
      </c>
      <c r="B12" s="8" t="s">
        <v>131</v>
      </c>
      <c r="C12" s="16" t="s">
        <v>63</v>
      </c>
      <c r="D12" s="9">
        <v>1</v>
      </c>
      <c r="E12" s="10">
        <f>53600*1</f>
        <v>53600</v>
      </c>
      <c r="F12" s="45" t="s">
        <v>290</v>
      </c>
      <c r="G12" s="47" t="s">
        <v>390</v>
      </c>
      <c r="H12" s="10"/>
      <c r="I12" s="10"/>
      <c r="J12" s="11"/>
    </row>
    <row r="13" spans="1:12" ht="48">
      <c r="A13" s="7">
        <v>4</v>
      </c>
      <c r="B13" s="8" t="s">
        <v>132</v>
      </c>
      <c r="C13" s="16" t="s">
        <v>63</v>
      </c>
      <c r="D13" s="9">
        <v>1</v>
      </c>
      <c r="E13" s="10">
        <f>16800*1</f>
        <v>16800</v>
      </c>
      <c r="F13" s="45" t="s">
        <v>290</v>
      </c>
      <c r="G13" s="47" t="s">
        <v>389</v>
      </c>
      <c r="H13" s="10"/>
      <c r="I13" s="10"/>
      <c r="J13" s="11"/>
    </row>
    <row r="14" spans="1:12">
      <c r="A14" s="26"/>
      <c r="B14" s="31" t="s">
        <v>228</v>
      </c>
      <c r="C14" s="27"/>
      <c r="D14" s="28"/>
      <c r="E14" s="40">
        <f>SUM(E15:E16)</f>
        <v>2208000</v>
      </c>
      <c r="F14" s="29"/>
      <c r="G14" s="29"/>
      <c r="H14" s="29"/>
      <c r="I14" s="29"/>
      <c r="J14" s="30"/>
    </row>
    <row r="15" spans="1:12" ht="96">
      <c r="A15" s="7">
        <v>5</v>
      </c>
      <c r="B15" s="8" t="s">
        <v>233</v>
      </c>
      <c r="C15" s="16" t="s">
        <v>63</v>
      </c>
      <c r="D15" s="9">
        <v>1</v>
      </c>
      <c r="E15" s="10">
        <v>850000</v>
      </c>
      <c r="F15" s="45" t="s">
        <v>290</v>
      </c>
      <c r="G15" s="47" t="s">
        <v>391</v>
      </c>
      <c r="H15" s="10"/>
      <c r="I15" s="10"/>
      <c r="J15" s="11"/>
    </row>
    <row r="16" spans="1:12" ht="96">
      <c r="A16" s="7">
        <v>6</v>
      </c>
      <c r="B16" s="8" t="s">
        <v>236</v>
      </c>
      <c r="C16" s="16" t="s">
        <v>63</v>
      </c>
      <c r="D16" s="9">
        <v>1</v>
      </c>
      <c r="E16" s="10">
        <f>1358000*1</f>
        <v>1358000</v>
      </c>
      <c r="F16" s="45" t="s">
        <v>290</v>
      </c>
      <c r="G16" s="47" t="s">
        <v>392</v>
      </c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E8+E11+E14</f>
        <v>2368400</v>
      </c>
      <c r="F17" s="12"/>
      <c r="G17" s="12"/>
      <c r="H17" s="12"/>
      <c r="I17" s="12"/>
      <c r="J17" s="13"/>
    </row>
    <row r="18" spans="1:13">
      <c r="D18" s="2" t="s">
        <v>9</v>
      </c>
      <c r="M18" s="1" t="s">
        <v>9</v>
      </c>
    </row>
    <row r="19" spans="1:13">
      <c r="C19" s="3"/>
      <c r="L19" s="1" t="s">
        <v>9</v>
      </c>
    </row>
  </sheetData>
  <mergeCells count="11">
    <mergeCell ref="A2:J2"/>
    <mergeCell ref="A3:J3"/>
    <mergeCell ref="A4:J4"/>
    <mergeCell ref="F6:I6"/>
    <mergeCell ref="A17:D17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85" zoomScaleNormal="85" workbookViewId="0">
      <selection activeCell="M11" sqref="M11"/>
    </sheetView>
  </sheetViews>
  <sheetFormatPr defaultColWidth="9" defaultRowHeight="24"/>
  <cols>
    <col min="1" max="1" width="9" style="2"/>
    <col min="2" max="2" width="46" style="3" customWidth="1"/>
    <col min="3" max="3" width="11.85546875" style="2" customWidth="1"/>
    <col min="4" max="4" width="9" style="2"/>
    <col min="5" max="5" width="13.42578125" style="4" bestFit="1" customWidth="1"/>
    <col min="6" max="6" width="16.85546875" style="4" bestFit="1" customWidth="1"/>
    <col min="7" max="9" width="13.42578125" style="4" customWidth="1"/>
    <col min="10" max="10" width="14.42578125" style="3" customWidth="1"/>
    <col min="11" max="16384" width="9" style="1"/>
  </cols>
  <sheetData>
    <row r="2" spans="1:1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3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3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3">
      <c r="J5" s="2" t="s">
        <v>2</v>
      </c>
    </row>
    <row r="6" spans="1:13">
      <c r="A6" s="123" t="s">
        <v>3</v>
      </c>
      <c r="B6" s="123" t="s">
        <v>4</v>
      </c>
      <c r="C6" s="130" t="s">
        <v>75</v>
      </c>
      <c r="D6" s="123" t="s">
        <v>5</v>
      </c>
      <c r="E6" s="125" t="s">
        <v>6</v>
      </c>
      <c r="F6" s="127" t="s">
        <v>45</v>
      </c>
      <c r="G6" s="128"/>
      <c r="H6" s="128"/>
      <c r="I6" s="129"/>
      <c r="J6" s="123" t="s">
        <v>7</v>
      </c>
    </row>
    <row r="7" spans="1:13">
      <c r="A7" s="124"/>
      <c r="B7" s="124"/>
      <c r="C7" s="131"/>
      <c r="D7" s="124"/>
      <c r="E7" s="126"/>
      <c r="F7" s="6" t="s">
        <v>46</v>
      </c>
      <c r="G7" s="6" t="s">
        <v>47</v>
      </c>
      <c r="H7" s="6" t="s">
        <v>48</v>
      </c>
      <c r="I7" s="6" t="s">
        <v>49</v>
      </c>
      <c r="J7" s="124"/>
    </row>
    <row r="8" spans="1:13">
      <c r="A8" s="5"/>
      <c r="B8" s="20" t="s">
        <v>231</v>
      </c>
      <c r="C8" s="17"/>
      <c r="D8" s="5"/>
      <c r="E8" s="6"/>
      <c r="F8" s="6"/>
      <c r="G8" s="6"/>
      <c r="H8" s="6"/>
      <c r="I8" s="6"/>
      <c r="J8" s="5"/>
    </row>
    <row r="9" spans="1:13" ht="72">
      <c r="A9" s="7">
        <v>1</v>
      </c>
      <c r="B9" s="8" t="s">
        <v>26</v>
      </c>
      <c r="C9" s="14" t="s">
        <v>29</v>
      </c>
      <c r="D9" s="9">
        <v>1</v>
      </c>
      <c r="E9" s="10">
        <v>2493200</v>
      </c>
      <c r="F9" s="45" t="s">
        <v>290</v>
      </c>
      <c r="G9" s="47" t="s">
        <v>323</v>
      </c>
      <c r="H9" s="10"/>
      <c r="I9" s="10"/>
      <c r="J9" s="11"/>
      <c r="L9" s="1" t="s">
        <v>9</v>
      </c>
      <c r="M9" s="1" t="s">
        <v>9</v>
      </c>
    </row>
    <row r="10" spans="1:13" ht="72">
      <c r="A10" s="7">
        <v>2</v>
      </c>
      <c r="B10" s="8" t="s">
        <v>28</v>
      </c>
      <c r="C10" s="14" t="s">
        <v>29</v>
      </c>
      <c r="D10" s="9">
        <v>1</v>
      </c>
      <c r="E10" s="10">
        <v>2471400</v>
      </c>
      <c r="F10" s="45" t="s">
        <v>290</v>
      </c>
      <c r="G10" s="47" t="s">
        <v>323</v>
      </c>
      <c r="H10" s="10"/>
      <c r="I10" s="10"/>
      <c r="J10" s="11"/>
    </row>
    <row r="11" spans="1:13">
      <c r="A11" s="113" t="s">
        <v>8</v>
      </c>
      <c r="B11" s="114"/>
      <c r="C11" s="114"/>
      <c r="D11" s="115"/>
      <c r="E11" s="12">
        <f>SUM(E9:E10)</f>
        <v>4964600</v>
      </c>
      <c r="F11" s="13"/>
      <c r="G11" s="13"/>
      <c r="H11" s="13"/>
      <c r="I11" s="13"/>
      <c r="J11" s="13"/>
    </row>
    <row r="13" spans="1:13">
      <c r="K13" s="1" t="s">
        <v>9</v>
      </c>
    </row>
  </sheetData>
  <mergeCells count="11">
    <mergeCell ref="A2:J2"/>
    <mergeCell ref="A3:J3"/>
    <mergeCell ref="A4:J4"/>
    <mergeCell ref="A11:D11"/>
    <mergeCell ref="F6:I6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1048566"/>
  <sheetViews>
    <sheetView topLeftCell="A7" zoomScale="85" zoomScaleNormal="85" workbookViewId="0">
      <selection activeCell="A4" sqref="A4:J4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8.42578125" style="4" bestFit="1" customWidth="1"/>
    <col min="7" max="7" width="20" style="4" bestFit="1" customWidth="1"/>
    <col min="8" max="9" width="13.42578125" style="4" customWidth="1"/>
    <col min="10" max="10" width="14.42578125" style="3" customWidth="1"/>
    <col min="11" max="16384" width="9" style="1"/>
  </cols>
  <sheetData>
    <row r="2" spans="1:18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8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8">
      <c r="A4" s="112" t="s">
        <v>117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8">
      <c r="B5" s="3" t="s">
        <v>9</v>
      </c>
      <c r="J5" s="2" t="s">
        <v>2</v>
      </c>
    </row>
    <row r="6" spans="1:18" s="36" customFormat="1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8" s="36" customFormat="1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8">
      <c r="A8" s="5"/>
      <c r="B8" s="20" t="s">
        <v>109</v>
      </c>
      <c r="C8" s="17"/>
      <c r="D8" s="5"/>
      <c r="E8" s="6">
        <f>SUM(E9:E17)</f>
        <v>454560</v>
      </c>
      <c r="F8" s="6"/>
      <c r="G8" s="6"/>
      <c r="H8" s="6"/>
      <c r="I8" s="6"/>
      <c r="J8" s="5"/>
    </row>
    <row r="9" spans="1:18">
      <c r="A9" s="7">
        <v>1</v>
      </c>
      <c r="B9" s="8" t="s">
        <v>118</v>
      </c>
      <c r="C9" s="16" t="s">
        <v>119</v>
      </c>
      <c r="D9" s="9">
        <v>1</v>
      </c>
      <c r="E9" s="10">
        <f>5000*1</f>
        <v>5000</v>
      </c>
      <c r="F9" s="45" t="s">
        <v>290</v>
      </c>
      <c r="G9" s="10" t="s">
        <v>309</v>
      </c>
      <c r="H9" s="10"/>
      <c r="I9" s="45" t="s">
        <v>290</v>
      </c>
      <c r="J9" s="63"/>
    </row>
    <row r="10" spans="1:18" ht="48">
      <c r="A10" s="7">
        <v>2</v>
      </c>
      <c r="B10" s="8" t="s">
        <v>123</v>
      </c>
      <c r="C10" s="16" t="s">
        <v>119</v>
      </c>
      <c r="D10" s="9">
        <v>1</v>
      </c>
      <c r="E10" s="10">
        <f>42700*1</f>
        <v>42700</v>
      </c>
      <c r="F10" s="45" t="s">
        <v>290</v>
      </c>
      <c r="G10" s="10" t="s">
        <v>309</v>
      </c>
      <c r="H10" s="10"/>
      <c r="I10" s="45" t="s">
        <v>290</v>
      </c>
      <c r="J10" s="64"/>
      <c r="R10" s="1" t="s">
        <v>9</v>
      </c>
    </row>
    <row r="11" spans="1:18" ht="48">
      <c r="A11" s="7">
        <v>3</v>
      </c>
      <c r="B11" s="8" t="s">
        <v>184</v>
      </c>
      <c r="C11" s="16" t="s">
        <v>119</v>
      </c>
      <c r="D11" s="9">
        <v>12</v>
      </c>
      <c r="E11" s="10">
        <f>13180*12</f>
        <v>158160</v>
      </c>
      <c r="F11" s="45" t="s">
        <v>290</v>
      </c>
      <c r="G11" s="10" t="s">
        <v>309</v>
      </c>
      <c r="H11" s="10"/>
      <c r="I11" s="45" t="s">
        <v>290</v>
      </c>
      <c r="J11" s="64"/>
    </row>
    <row r="12" spans="1:18" ht="48">
      <c r="A12" s="7">
        <v>4</v>
      </c>
      <c r="B12" s="8" t="s">
        <v>187</v>
      </c>
      <c r="C12" s="16" t="s">
        <v>119</v>
      </c>
      <c r="D12" s="9">
        <v>4</v>
      </c>
      <c r="E12" s="10">
        <f>19200*4</f>
        <v>76800</v>
      </c>
      <c r="F12" s="45" t="s">
        <v>290</v>
      </c>
      <c r="G12" s="10" t="s">
        <v>309</v>
      </c>
      <c r="H12" s="10"/>
      <c r="I12" s="10"/>
      <c r="J12" s="64"/>
      <c r="M12" s="1" t="s">
        <v>9</v>
      </c>
    </row>
    <row r="13" spans="1:18" ht="48">
      <c r="A13" s="7">
        <v>5</v>
      </c>
      <c r="B13" s="8" t="s">
        <v>190</v>
      </c>
      <c r="C13" s="16" t="s">
        <v>119</v>
      </c>
      <c r="D13" s="9">
        <v>32</v>
      </c>
      <c r="E13" s="10">
        <f>4500*32</f>
        <v>144000</v>
      </c>
      <c r="F13" s="45" t="s">
        <v>290</v>
      </c>
      <c r="G13" s="10" t="s">
        <v>309</v>
      </c>
      <c r="H13" s="10"/>
      <c r="I13" s="45" t="s">
        <v>290</v>
      </c>
      <c r="J13" s="64"/>
    </row>
    <row r="14" spans="1:18" ht="48">
      <c r="A14" s="7">
        <v>6</v>
      </c>
      <c r="B14" s="8" t="s">
        <v>199</v>
      </c>
      <c r="C14" s="16" t="s">
        <v>119</v>
      </c>
      <c r="D14" s="9">
        <v>1</v>
      </c>
      <c r="E14" s="10">
        <f>5700*1</f>
        <v>5700</v>
      </c>
      <c r="F14" s="45" t="s">
        <v>290</v>
      </c>
      <c r="G14" s="10" t="s">
        <v>309</v>
      </c>
      <c r="H14" s="10"/>
      <c r="I14" s="10"/>
      <c r="J14" s="64"/>
      <c r="M14" s="1" t="s">
        <v>9</v>
      </c>
    </row>
    <row r="15" spans="1:18">
      <c r="A15" s="7">
        <v>7</v>
      </c>
      <c r="B15" s="8" t="s">
        <v>201</v>
      </c>
      <c r="C15" s="16" t="s">
        <v>119</v>
      </c>
      <c r="D15" s="9">
        <v>1</v>
      </c>
      <c r="E15" s="10">
        <f>6100*1</f>
        <v>6100</v>
      </c>
      <c r="F15" s="45" t="s">
        <v>290</v>
      </c>
      <c r="G15" s="10" t="s">
        <v>309</v>
      </c>
      <c r="H15" s="10"/>
      <c r="I15" s="10"/>
      <c r="J15" s="64"/>
    </row>
    <row r="16" spans="1:18">
      <c r="A16" s="7">
        <v>8</v>
      </c>
      <c r="B16" s="8" t="s">
        <v>202</v>
      </c>
      <c r="C16" s="16" t="s">
        <v>119</v>
      </c>
      <c r="D16" s="9">
        <v>1</v>
      </c>
      <c r="E16" s="10">
        <f>9900*1</f>
        <v>9900</v>
      </c>
      <c r="F16" s="45" t="s">
        <v>290</v>
      </c>
      <c r="G16" s="10" t="s">
        <v>309</v>
      </c>
      <c r="H16" s="10"/>
      <c r="I16" s="10"/>
      <c r="J16" s="64"/>
    </row>
    <row r="17" spans="1:13">
      <c r="A17" s="7">
        <v>9</v>
      </c>
      <c r="B17" s="8" t="s">
        <v>277</v>
      </c>
      <c r="C17" s="16" t="s">
        <v>119</v>
      </c>
      <c r="D17" s="9">
        <v>1</v>
      </c>
      <c r="E17" s="10">
        <f>6200*1</f>
        <v>6200</v>
      </c>
      <c r="F17" s="45" t="s">
        <v>290</v>
      </c>
      <c r="G17" s="10" t="s">
        <v>309</v>
      </c>
      <c r="H17" s="10"/>
      <c r="I17" s="10"/>
      <c r="J17" s="65"/>
    </row>
    <row r="18" spans="1:13">
      <c r="A18" s="113" t="s">
        <v>8</v>
      </c>
      <c r="B18" s="114"/>
      <c r="C18" s="114"/>
      <c r="D18" s="115"/>
      <c r="E18" s="12">
        <f>E8</f>
        <v>454560</v>
      </c>
      <c r="F18" s="12"/>
      <c r="G18" s="12"/>
      <c r="H18" s="12"/>
      <c r="I18" s="12"/>
      <c r="J18" s="13"/>
    </row>
    <row r="19" spans="1:13">
      <c r="D19" s="2" t="s">
        <v>9</v>
      </c>
      <c r="M19" s="1" t="s">
        <v>9</v>
      </c>
    </row>
    <row r="20" spans="1:13">
      <c r="I20" s="4" t="s">
        <v>9</v>
      </c>
      <c r="L20" s="1" t="s">
        <v>9</v>
      </c>
    </row>
    <row r="1048566" spans="9:9">
      <c r="I1048566" s="4" t="s">
        <v>9</v>
      </c>
    </row>
  </sheetData>
  <mergeCells count="11">
    <mergeCell ref="A2:J2"/>
    <mergeCell ref="A3:J3"/>
    <mergeCell ref="A4:J4"/>
    <mergeCell ref="F6:I6"/>
    <mergeCell ref="A18:D18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0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9"/>
  <sheetViews>
    <sheetView topLeftCell="A4" zoomScale="85" zoomScaleNormal="85" workbookViewId="0">
      <selection activeCell="B9" sqref="B9"/>
    </sheetView>
  </sheetViews>
  <sheetFormatPr defaultColWidth="9" defaultRowHeight="24"/>
  <cols>
    <col min="1" max="1" width="9" style="2"/>
    <col min="2" max="2" width="46" style="3" customWidth="1"/>
    <col min="3" max="3" width="11.7109375" style="2" customWidth="1"/>
    <col min="4" max="4" width="9" style="2"/>
    <col min="5" max="5" width="13.42578125" style="4" bestFit="1" customWidth="1"/>
    <col min="6" max="6" width="16.85546875" style="4" bestFit="1" customWidth="1"/>
    <col min="7" max="7" width="47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2">
      <c r="B5" s="3" t="s">
        <v>9</v>
      </c>
      <c r="J5" s="2" t="s">
        <v>2</v>
      </c>
    </row>
    <row r="6" spans="1:12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2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2">
      <c r="A8" s="5"/>
      <c r="B8" s="20" t="s">
        <v>107</v>
      </c>
      <c r="C8" s="17"/>
      <c r="D8" s="5"/>
      <c r="E8" s="6">
        <f>SUM(E9:E13)</f>
        <v>78000</v>
      </c>
      <c r="F8" s="6"/>
      <c r="G8" s="6"/>
      <c r="H8" s="6"/>
      <c r="I8" s="6"/>
      <c r="J8" s="5"/>
    </row>
    <row r="9" spans="1:12" ht="96">
      <c r="A9" s="7">
        <v>1</v>
      </c>
      <c r="B9" s="8" t="s">
        <v>54</v>
      </c>
      <c r="C9" s="16" t="s">
        <v>56</v>
      </c>
      <c r="D9" s="9">
        <v>1</v>
      </c>
      <c r="E9" s="10">
        <f>22000*1</f>
        <v>22000</v>
      </c>
      <c r="F9" s="53" t="s">
        <v>310</v>
      </c>
      <c r="G9" s="47" t="s">
        <v>311</v>
      </c>
      <c r="H9" s="10"/>
      <c r="I9" s="10"/>
      <c r="J9" s="11"/>
      <c r="L9" s="1" t="s">
        <v>9</v>
      </c>
    </row>
    <row r="10" spans="1:12" ht="96">
      <c r="A10" s="7">
        <v>2</v>
      </c>
      <c r="B10" s="8" t="s">
        <v>68</v>
      </c>
      <c r="C10" s="16" t="s">
        <v>56</v>
      </c>
      <c r="D10" s="9">
        <v>1</v>
      </c>
      <c r="E10" s="10">
        <f>17000</f>
        <v>17000</v>
      </c>
      <c r="F10" s="45" t="s">
        <v>290</v>
      </c>
      <c r="G10" s="47" t="s">
        <v>311</v>
      </c>
      <c r="H10" s="10"/>
      <c r="I10" s="10"/>
      <c r="J10" s="11"/>
    </row>
    <row r="11" spans="1:12" ht="96">
      <c r="A11" s="7">
        <v>3</v>
      </c>
      <c r="B11" s="8" t="s">
        <v>72</v>
      </c>
      <c r="C11" s="16" t="s">
        <v>56</v>
      </c>
      <c r="D11" s="9">
        <v>1</v>
      </c>
      <c r="E11" s="10">
        <f>10000*1</f>
        <v>10000</v>
      </c>
      <c r="F11" s="45" t="s">
        <v>290</v>
      </c>
      <c r="G11" s="47" t="s">
        <v>312</v>
      </c>
      <c r="H11" s="10"/>
      <c r="I11" s="10"/>
      <c r="J11" s="11"/>
    </row>
    <row r="12" spans="1:12" ht="96">
      <c r="A12" s="7">
        <v>4</v>
      </c>
      <c r="B12" s="8" t="s">
        <v>78</v>
      </c>
      <c r="C12" s="16" t="s">
        <v>56</v>
      </c>
      <c r="D12" s="9">
        <v>1</v>
      </c>
      <c r="E12" s="10">
        <f>26000*1</f>
        <v>26000</v>
      </c>
      <c r="F12" s="45" t="s">
        <v>290</v>
      </c>
      <c r="G12" s="47" t="s">
        <v>313</v>
      </c>
      <c r="H12" s="10"/>
      <c r="I12" s="10"/>
      <c r="J12" s="11"/>
      <c r="L12" s="1" t="s">
        <v>9</v>
      </c>
    </row>
    <row r="13" spans="1:12" ht="96">
      <c r="A13" s="7">
        <v>5</v>
      </c>
      <c r="B13" s="8" t="s">
        <v>87</v>
      </c>
      <c r="C13" s="16" t="s">
        <v>56</v>
      </c>
      <c r="D13" s="16">
        <v>1</v>
      </c>
      <c r="E13" s="10">
        <f>3000*1</f>
        <v>3000</v>
      </c>
      <c r="F13" s="45" t="s">
        <v>290</v>
      </c>
      <c r="G13" s="47" t="s">
        <v>314</v>
      </c>
      <c r="H13" s="10"/>
      <c r="I13" s="10"/>
      <c r="J13" s="11"/>
    </row>
    <row r="14" spans="1:12">
      <c r="A14" s="26"/>
      <c r="B14" s="31" t="s">
        <v>109</v>
      </c>
      <c r="C14" s="27"/>
      <c r="D14" s="27"/>
      <c r="E14" s="40">
        <f>SUM(E15:E16)</f>
        <v>38000</v>
      </c>
      <c r="F14" s="29"/>
      <c r="G14" s="29"/>
      <c r="H14" s="29"/>
      <c r="I14" s="29"/>
      <c r="J14" s="30"/>
    </row>
    <row r="15" spans="1:12" ht="48">
      <c r="A15" s="7">
        <v>6</v>
      </c>
      <c r="B15" s="8" t="s">
        <v>111</v>
      </c>
      <c r="C15" s="16" t="s">
        <v>56</v>
      </c>
      <c r="D15" s="9">
        <v>1</v>
      </c>
      <c r="E15" s="10">
        <f>18000*1</f>
        <v>18000</v>
      </c>
      <c r="F15" s="45" t="s">
        <v>290</v>
      </c>
      <c r="G15" s="47" t="s">
        <v>315</v>
      </c>
      <c r="H15" s="10"/>
      <c r="I15" s="10"/>
      <c r="J15" s="11"/>
    </row>
    <row r="16" spans="1:12" ht="48">
      <c r="A16" s="7">
        <v>7</v>
      </c>
      <c r="B16" s="8" t="s">
        <v>121</v>
      </c>
      <c r="C16" s="16" t="s">
        <v>56</v>
      </c>
      <c r="D16" s="9">
        <v>1</v>
      </c>
      <c r="E16" s="10">
        <f>20000*1</f>
        <v>20000</v>
      </c>
      <c r="F16" s="45" t="s">
        <v>290</v>
      </c>
      <c r="G16" s="47" t="s">
        <v>316</v>
      </c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E8+E14</f>
        <v>116000</v>
      </c>
      <c r="F17" s="12"/>
      <c r="G17" s="12"/>
      <c r="H17" s="12"/>
      <c r="I17" s="12"/>
      <c r="J17" s="13"/>
    </row>
    <row r="18" spans="1:13">
      <c r="D18" s="2" t="s">
        <v>9</v>
      </c>
      <c r="G18" s="4" t="s">
        <v>9</v>
      </c>
      <c r="M18" s="1" t="s">
        <v>9</v>
      </c>
    </row>
    <row r="19" spans="1:13">
      <c r="F19" s="4" t="s">
        <v>9</v>
      </c>
      <c r="L19" s="1" t="s">
        <v>9</v>
      </c>
    </row>
  </sheetData>
  <mergeCells count="11">
    <mergeCell ref="A2:J2"/>
    <mergeCell ref="A3:J3"/>
    <mergeCell ref="A4:J4"/>
    <mergeCell ref="F6:I6"/>
    <mergeCell ref="A17:D17"/>
    <mergeCell ref="A6:A7"/>
    <mergeCell ref="B6:B7"/>
    <mergeCell ref="C6:C7"/>
    <mergeCell ref="D6:D7"/>
    <mergeCell ref="E6:E7"/>
    <mergeCell ref="J6:J7"/>
  </mergeCells>
  <pageMargins left="0.25" right="0.25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9"/>
  <sheetViews>
    <sheetView topLeftCell="A4" zoomScale="85" zoomScaleNormal="85" workbookViewId="0">
      <selection activeCell="B14" sqref="B14"/>
    </sheetView>
  </sheetViews>
  <sheetFormatPr defaultColWidth="9" defaultRowHeight="24"/>
  <cols>
    <col min="1" max="1" width="9" style="2"/>
    <col min="2" max="2" width="46" style="3" customWidth="1"/>
    <col min="3" max="3" width="15.85546875" style="2" bestFit="1" customWidth="1"/>
    <col min="4" max="4" width="9" style="2"/>
    <col min="5" max="5" width="13.42578125" style="4" bestFit="1" customWidth="1"/>
    <col min="6" max="6" width="16.85546875" style="4" bestFit="1" customWidth="1"/>
    <col min="7" max="7" width="38.42578125" style="4" customWidth="1"/>
    <col min="8" max="9" width="13.42578125" style="4" customWidth="1"/>
    <col min="10" max="10" width="14.42578125" style="3" customWidth="1"/>
    <col min="11" max="16384" width="9" style="1"/>
  </cols>
  <sheetData>
    <row r="2" spans="1:1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4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4">
      <c r="A4" s="112" t="s">
        <v>73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4">
      <c r="B5" s="3" t="s">
        <v>9</v>
      </c>
      <c r="J5" s="2" t="s">
        <v>2</v>
      </c>
    </row>
    <row r="6" spans="1:14">
      <c r="A6" s="119" t="s">
        <v>3</v>
      </c>
      <c r="B6" s="119" t="s">
        <v>4</v>
      </c>
      <c r="C6" s="119" t="s">
        <v>278</v>
      </c>
      <c r="D6" s="119" t="s">
        <v>5</v>
      </c>
      <c r="E6" s="121" t="s">
        <v>6</v>
      </c>
      <c r="F6" s="116" t="s">
        <v>45</v>
      </c>
      <c r="G6" s="117"/>
      <c r="H6" s="117"/>
      <c r="I6" s="118"/>
      <c r="J6" s="119" t="s">
        <v>7</v>
      </c>
    </row>
    <row r="7" spans="1:14">
      <c r="A7" s="120"/>
      <c r="B7" s="120"/>
      <c r="C7" s="120"/>
      <c r="D7" s="120"/>
      <c r="E7" s="122"/>
      <c r="F7" s="37" t="s">
        <v>46</v>
      </c>
      <c r="G7" s="37" t="s">
        <v>292</v>
      </c>
      <c r="H7" s="37" t="s">
        <v>48</v>
      </c>
      <c r="I7" s="37" t="s">
        <v>49</v>
      </c>
      <c r="J7" s="120"/>
    </row>
    <row r="8" spans="1:14">
      <c r="A8" s="5"/>
      <c r="B8" s="20" t="s">
        <v>107</v>
      </c>
      <c r="C8" s="17"/>
      <c r="D8" s="5"/>
      <c r="E8" s="6">
        <f>SUM(E9:E10)</f>
        <v>46700</v>
      </c>
      <c r="F8" s="6"/>
      <c r="G8" s="6"/>
      <c r="H8" s="6"/>
      <c r="I8" s="6"/>
      <c r="J8" s="5"/>
    </row>
    <row r="9" spans="1:14" ht="96">
      <c r="A9" s="7">
        <v>1</v>
      </c>
      <c r="B9" s="8" t="s">
        <v>72</v>
      </c>
      <c r="C9" s="16" t="s">
        <v>74</v>
      </c>
      <c r="D9" s="9">
        <v>2</v>
      </c>
      <c r="E9" s="10">
        <f>10000*2</f>
        <v>20000</v>
      </c>
      <c r="F9" s="45" t="s">
        <v>290</v>
      </c>
      <c r="G9" s="47" t="s">
        <v>317</v>
      </c>
      <c r="H9" s="10"/>
      <c r="I9" s="10"/>
      <c r="J9" s="11"/>
      <c r="L9" s="1" t="s">
        <v>9</v>
      </c>
    </row>
    <row r="10" spans="1:14" ht="96">
      <c r="A10" s="7">
        <v>2</v>
      </c>
      <c r="B10" s="8" t="s">
        <v>79</v>
      </c>
      <c r="C10" s="16" t="s">
        <v>74</v>
      </c>
      <c r="D10" s="9">
        <v>3</v>
      </c>
      <c r="E10" s="10">
        <f>8900*3</f>
        <v>26700</v>
      </c>
      <c r="F10" s="45" t="s">
        <v>290</v>
      </c>
      <c r="G10" s="47" t="s">
        <v>318</v>
      </c>
      <c r="H10" s="10"/>
      <c r="I10" s="10"/>
      <c r="J10" s="11"/>
    </row>
    <row r="11" spans="1:14">
      <c r="A11" s="26"/>
      <c r="B11" s="31" t="s">
        <v>109</v>
      </c>
      <c r="C11" s="27"/>
      <c r="D11" s="28"/>
      <c r="E11" s="40">
        <f>SUM(E12:E14)</f>
        <v>91500</v>
      </c>
      <c r="F11" s="29"/>
      <c r="G11" s="29"/>
      <c r="H11" s="29"/>
      <c r="I11" s="29"/>
      <c r="J11" s="30"/>
    </row>
    <row r="12" spans="1:14">
      <c r="A12" s="7">
        <v>3</v>
      </c>
      <c r="B12" s="8" t="s">
        <v>116</v>
      </c>
      <c r="C12" s="16" t="s">
        <v>74</v>
      </c>
      <c r="D12" s="9">
        <v>1</v>
      </c>
      <c r="E12" s="10">
        <f>22000*1</f>
        <v>22000</v>
      </c>
      <c r="F12" s="45" t="s">
        <v>290</v>
      </c>
      <c r="G12" s="53" t="s">
        <v>319</v>
      </c>
      <c r="H12" s="10"/>
      <c r="I12" s="10"/>
      <c r="J12" s="11"/>
    </row>
    <row r="13" spans="1:14" ht="72">
      <c r="A13" s="7">
        <v>4</v>
      </c>
      <c r="B13" s="8" t="s">
        <v>121</v>
      </c>
      <c r="C13" s="16" t="s">
        <v>74</v>
      </c>
      <c r="D13" s="9">
        <v>1</v>
      </c>
      <c r="E13" s="10">
        <f>20000*1</f>
        <v>20000</v>
      </c>
      <c r="F13" s="45" t="s">
        <v>290</v>
      </c>
      <c r="G13" s="47" t="s">
        <v>320</v>
      </c>
      <c r="H13" s="10"/>
      <c r="I13" s="10"/>
      <c r="J13" s="11"/>
    </row>
    <row r="14" spans="1:14" ht="48">
      <c r="A14" s="7">
        <v>5</v>
      </c>
      <c r="B14" s="8" t="s">
        <v>190</v>
      </c>
      <c r="C14" s="16" t="s">
        <v>74</v>
      </c>
      <c r="D14" s="9">
        <v>11</v>
      </c>
      <c r="E14" s="10">
        <f>4500*11</f>
        <v>49500</v>
      </c>
      <c r="F14" s="45" t="s">
        <v>290</v>
      </c>
      <c r="G14" s="53" t="s">
        <v>319</v>
      </c>
      <c r="H14" s="10"/>
      <c r="I14" s="10"/>
      <c r="J14" s="11"/>
      <c r="N14" s="1" t="s">
        <v>9</v>
      </c>
    </row>
    <row r="15" spans="1:14">
      <c r="A15" s="26"/>
      <c r="B15" s="31" t="s">
        <v>228</v>
      </c>
      <c r="C15" s="27"/>
      <c r="D15" s="28"/>
      <c r="E15" s="40">
        <f>SUM(E16)</f>
        <v>740000</v>
      </c>
      <c r="F15" s="29"/>
      <c r="G15" s="29"/>
      <c r="H15" s="29"/>
      <c r="I15" s="29"/>
      <c r="J15" s="30"/>
    </row>
    <row r="16" spans="1:14" ht="72">
      <c r="A16" s="7">
        <v>6</v>
      </c>
      <c r="B16" s="8" t="s">
        <v>229</v>
      </c>
      <c r="C16" s="16" t="s">
        <v>74</v>
      </c>
      <c r="D16" s="9">
        <v>1</v>
      </c>
      <c r="E16" s="10">
        <v>740000</v>
      </c>
      <c r="F16" s="45" t="s">
        <v>290</v>
      </c>
      <c r="G16" s="47" t="s">
        <v>321</v>
      </c>
      <c r="H16" s="10"/>
      <c r="I16" s="10"/>
      <c r="J16" s="11"/>
    </row>
    <row r="17" spans="1:13">
      <c r="A17" s="113" t="s">
        <v>8</v>
      </c>
      <c r="B17" s="114"/>
      <c r="C17" s="114"/>
      <c r="D17" s="115"/>
      <c r="E17" s="12">
        <f>E8+E11+E15</f>
        <v>878200</v>
      </c>
      <c r="F17" s="12"/>
      <c r="G17" s="12"/>
      <c r="H17" s="12"/>
      <c r="I17" s="12"/>
      <c r="J17" s="13"/>
    </row>
    <row r="18" spans="1:13">
      <c r="D18" s="2" t="s">
        <v>9</v>
      </c>
      <c r="M18" s="1" t="s">
        <v>9</v>
      </c>
    </row>
    <row r="19" spans="1:13">
      <c r="L19" s="1" t="s">
        <v>9</v>
      </c>
    </row>
  </sheetData>
  <mergeCells count="11">
    <mergeCell ref="A2:J2"/>
    <mergeCell ref="A3:J3"/>
    <mergeCell ref="A4:J4"/>
    <mergeCell ref="F6:I6"/>
    <mergeCell ref="A17:D17"/>
    <mergeCell ref="A6:A7"/>
    <mergeCell ref="B6:B7"/>
    <mergeCell ref="C6:C7"/>
    <mergeCell ref="D6:D7"/>
    <mergeCell ref="E6:E7"/>
    <mergeCell ref="J6:J7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61</vt:i4>
      </vt:variant>
      <vt:variant>
        <vt:lpstr>ช่วงที่มีชื่อ</vt:lpstr>
      </vt:variant>
      <vt:variant>
        <vt:i4>59</vt:i4>
      </vt:variant>
    </vt:vector>
  </HeadingPairs>
  <TitlesOfParts>
    <vt:vector size="120" baseType="lpstr">
      <vt:lpstr>สรุป</vt:lpstr>
      <vt:lpstr>สนผ.1</vt:lpstr>
      <vt:lpstr>สบจ.2</vt:lpstr>
      <vt:lpstr>สกถ.3</vt:lpstr>
      <vt:lpstr>สกม.6</vt:lpstr>
      <vt:lpstr>สน.7</vt:lpstr>
      <vt:lpstr>กก.10</vt:lpstr>
      <vt:lpstr>กจ.11</vt:lpstr>
      <vt:lpstr>กยป.12</vt:lpstr>
      <vt:lpstr>กค.20</vt:lpstr>
      <vt:lpstr>ศสส.4</vt:lpstr>
      <vt:lpstr>ศสข.1 พระนครศรีอยุธยา</vt:lpstr>
      <vt:lpstr>ศสข.2 ชลบุรี</vt:lpstr>
      <vt:lpstr>ศสข.3 นครปฐม</vt:lpstr>
      <vt:lpstr>ศสข.4 นครราชสีมา</vt:lpstr>
      <vt:lpstr>ศสข.5 อุดรธานี</vt:lpstr>
      <vt:lpstr>ศสข.6 ขอนแก่น</vt:lpstr>
      <vt:lpstr>ศสข.7 เชียงใหม่</vt:lpstr>
      <vt:lpstr>ศสข.8 พิษณุโลก</vt:lpstr>
      <vt:lpstr>ศสข.9 นครสวรรค์</vt:lpstr>
      <vt:lpstr>ศสข.10 สุราษฎร์ธานี</vt:lpstr>
      <vt:lpstr>ศสข.11 นครศรีธรรมราช</vt:lpstr>
      <vt:lpstr>ศสข.12 สงขลา</vt:lpstr>
      <vt:lpstr>สมุทรปราการ 1100</vt:lpstr>
      <vt:lpstr>อยุธยา 1400</vt:lpstr>
      <vt:lpstr>อ่างทอง 1500</vt:lpstr>
      <vt:lpstr>สระบุรี 1900</vt:lpstr>
      <vt:lpstr>จันทบุรี 2200</vt:lpstr>
      <vt:lpstr>ตราด 2300</vt:lpstr>
      <vt:lpstr>ฉะเชิงเทรา 2400</vt:lpstr>
      <vt:lpstr>นครราชสีมา 3000</vt:lpstr>
      <vt:lpstr>บุรีรัมย์ 3100</vt:lpstr>
      <vt:lpstr>ศรีสะเกษ 3300</vt:lpstr>
      <vt:lpstr>ยโสธร 3500</vt:lpstr>
      <vt:lpstr>อำนาจเจริญ 3700</vt:lpstr>
      <vt:lpstr>ขอนแก่น 4000</vt:lpstr>
      <vt:lpstr>อุดรธานี 4100</vt:lpstr>
      <vt:lpstr>หนองคาย 4300</vt:lpstr>
      <vt:lpstr>ร้อยเอ็ด 4500</vt:lpstr>
      <vt:lpstr>มุกดาหาร 4900</vt:lpstr>
      <vt:lpstr>เชียงใหม่ 5000</vt:lpstr>
      <vt:lpstr>ลำพูน 5100</vt:lpstr>
      <vt:lpstr>พะเยา 5600</vt:lpstr>
      <vt:lpstr>แม่ฮ่องสอน 5800</vt:lpstr>
      <vt:lpstr>นครสวรรค์ 6000</vt:lpstr>
      <vt:lpstr>อุทัยธานี 6100</vt:lpstr>
      <vt:lpstr>กำแพงเพชร 6200</vt:lpstr>
      <vt:lpstr>ตาก 6300</vt:lpstr>
      <vt:lpstr>เพชรบูรณ์ 6700</vt:lpstr>
      <vt:lpstr>กาญจนบุรี 7100</vt:lpstr>
      <vt:lpstr>นครปฐม 7300</vt:lpstr>
      <vt:lpstr>สมุทรสงคราม 7500</vt:lpstr>
      <vt:lpstr>ประจวบคีรีขันธ์ 7700</vt:lpstr>
      <vt:lpstr>นครศรีธรรมราช 8000</vt:lpstr>
      <vt:lpstr>กระบี่ 8100</vt:lpstr>
      <vt:lpstr>ระนอง 8500</vt:lpstr>
      <vt:lpstr>สงขลา 9000</vt:lpstr>
      <vt:lpstr>ตรัง 9200</vt:lpstr>
      <vt:lpstr>พัทลุง 9300</vt:lpstr>
      <vt:lpstr>ปัตตานี 9400</vt:lpstr>
      <vt:lpstr>ยะลา 9500</vt:lpstr>
      <vt:lpstr>กก.10!Print_Area</vt:lpstr>
      <vt:lpstr>กค.20!Print_Area</vt:lpstr>
      <vt:lpstr>กจ.11!Print_Area</vt:lpstr>
      <vt:lpstr>กยป.12!Print_Area</vt:lpstr>
      <vt:lpstr>'กระบี่ 8100'!Print_Area</vt:lpstr>
      <vt:lpstr>'กาญจนบุรี 7100'!Print_Area</vt:lpstr>
      <vt:lpstr>'กำแพงเพชร 6200'!Print_Area</vt:lpstr>
      <vt:lpstr>'ขอนแก่น 4000'!Print_Area</vt:lpstr>
      <vt:lpstr>'จันทบุรี 2200'!Print_Area</vt:lpstr>
      <vt:lpstr>'ฉะเชิงเทรา 2400'!Print_Area</vt:lpstr>
      <vt:lpstr>'เชียงใหม่ 5000'!Print_Area</vt:lpstr>
      <vt:lpstr>'ตรัง 9200'!Print_Area</vt:lpstr>
      <vt:lpstr>'ตราด 2300'!Print_Area</vt:lpstr>
      <vt:lpstr>'ตาก 6300'!Print_Area</vt:lpstr>
      <vt:lpstr>'นครปฐม 7300'!Print_Area</vt:lpstr>
      <vt:lpstr>'นครราชสีมา 3000'!Print_Area</vt:lpstr>
      <vt:lpstr>'นครศรีธรรมราช 8000'!Print_Area</vt:lpstr>
      <vt:lpstr>'นครสวรรค์ 6000'!Print_Area</vt:lpstr>
      <vt:lpstr>'บุรีรัมย์ 3100'!Print_Area</vt:lpstr>
      <vt:lpstr>'ประจวบคีรีขันธ์ 7700'!Print_Area</vt:lpstr>
      <vt:lpstr>'ปัตตานี 9400'!Print_Area</vt:lpstr>
      <vt:lpstr>'พะเยา 5600'!Print_Area</vt:lpstr>
      <vt:lpstr>'พัทลุง 9300'!Print_Area</vt:lpstr>
      <vt:lpstr>'เพชรบูรณ์ 6700'!Print_Area</vt:lpstr>
      <vt:lpstr>'มุกดาหาร 4900'!Print_Area</vt:lpstr>
      <vt:lpstr>'แม่ฮ่องสอน 5800'!Print_Area</vt:lpstr>
      <vt:lpstr>'ยโสธร 3500'!Print_Area</vt:lpstr>
      <vt:lpstr>'ยะลา 9500'!Print_Area</vt:lpstr>
      <vt:lpstr>'ร้อยเอ็ด 4500'!Print_Area</vt:lpstr>
      <vt:lpstr>'ระนอง 8500'!Print_Area</vt:lpstr>
      <vt:lpstr>'ลำพูน 5100'!Print_Area</vt:lpstr>
      <vt:lpstr>'ศรีสะเกษ 3300'!Print_Area</vt:lpstr>
      <vt:lpstr>'ศสข.1 พระนครศรีอยุธยา'!Print_Area</vt:lpstr>
      <vt:lpstr>'ศสข.10 สุราษฎร์ธานี'!Print_Area</vt:lpstr>
      <vt:lpstr>'ศสข.11 นครศรีธรรมราช'!Print_Area</vt:lpstr>
      <vt:lpstr>'ศสข.12 สงขลา'!Print_Area</vt:lpstr>
      <vt:lpstr>'ศสข.2 ชลบุรี'!Print_Area</vt:lpstr>
      <vt:lpstr>'ศสข.3 นครปฐม'!Print_Area</vt:lpstr>
      <vt:lpstr>'ศสข.4 นครราชสีมา'!Print_Area</vt:lpstr>
      <vt:lpstr>'ศสข.5 อุดรธานี'!Print_Area</vt:lpstr>
      <vt:lpstr>'ศสข.6 ขอนแก่น'!Print_Area</vt:lpstr>
      <vt:lpstr>'ศสข.7 เชียงใหม่'!Print_Area</vt:lpstr>
      <vt:lpstr>'ศสข.8 พิษณุโลก'!Print_Area</vt:lpstr>
      <vt:lpstr>'ศสข.9 นครสวรรค์'!Print_Area</vt:lpstr>
      <vt:lpstr>ศสส.4!Print_Area</vt:lpstr>
      <vt:lpstr>สกถ.3!Print_Area</vt:lpstr>
      <vt:lpstr>สกม.6!Print_Area</vt:lpstr>
      <vt:lpstr>'สงขลา 9000'!Print_Area</vt:lpstr>
      <vt:lpstr>สน.7!Print_Area</vt:lpstr>
      <vt:lpstr>สนผ.1!Print_Area</vt:lpstr>
      <vt:lpstr>สบจ.2!Print_Area</vt:lpstr>
      <vt:lpstr>'สมุทรปราการ 1100'!Print_Area</vt:lpstr>
      <vt:lpstr>'สมุทรสงคราม 7500'!Print_Area</vt:lpstr>
      <vt:lpstr>'สระบุรี 1900'!Print_Area</vt:lpstr>
      <vt:lpstr>'หนองคาย 4300'!Print_Area</vt:lpstr>
      <vt:lpstr>'อยุธยา 1400'!Print_Area</vt:lpstr>
      <vt:lpstr>'อ่างทอง 1500'!Print_Area</vt:lpstr>
      <vt:lpstr>'อุดรธานี 4100'!Print_Area</vt:lpstr>
      <vt:lpstr>'อุทัยธานี 6100'!Print_Area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moi-21072020</dc:creator>
  <cp:lastModifiedBy>moi-21072020</cp:lastModifiedBy>
  <cp:lastPrinted>2023-05-09T08:50:08Z</cp:lastPrinted>
  <dcterms:created xsi:type="dcterms:W3CDTF">2023-02-02T03:26:46Z</dcterms:created>
  <dcterms:modified xsi:type="dcterms:W3CDTF">2023-07-06T03:48:13Z</dcterms:modified>
</cp:coreProperties>
</file>