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เวิร์กบุ๊กนี้" defaultThemeVersion="124226"/>
  <bookViews>
    <workbookView xWindow="0" yWindow="0" windowWidth="23040" windowHeight="8805" tabRatio="732" activeTab="6"/>
  </bookViews>
  <sheets>
    <sheet name="รวมส่วนภูมิภาค(1+2+3+4+5)" sheetId="1" r:id="rId1"/>
    <sheet name="1.งบบุคลากร" sheetId="2" r:id="rId2"/>
    <sheet name="2.งบดำเนินงาน" sheetId="3" r:id="rId3"/>
    <sheet name="3.งบลงทุน" sheetId="4" r:id="rId4"/>
    <sheet name="4.งบอุดหนุน" sheetId="5" r:id="rId5"/>
    <sheet name="5.งบรายจ่ายอื่น" sheetId="6" r:id="rId6"/>
    <sheet name="รวมส่วนภูมิภาค(1+2+3+4+5) (2)" sheetId="8" r:id="rId7"/>
    <sheet name="Sheet6" sheetId="7" state="hidden" r:id="rId8"/>
  </sheets>
  <definedNames>
    <definedName name="_xlnm.Print_Area" localSheetId="2">'2.งบดำเนินงาน'!$A$1:$S$82</definedName>
    <definedName name="_xlnm.Print_Area" localSheetId="5">'5.งบรายจ่ายอื่น'!$A$1:$BG$82</definedName>
    <definedName name="_xlnm.Print_Area" localSheetId="6">'รวมส่วนภูมิภาค(1+2+3+4+5) (2)'!$A$1:$H$87</definedName>
    <definedName name="_xlnm.Print_Titles" localSheetId="1">'1.งบบุคลากร'!$4:$5</definedName>
    <definedName name="_xlnm.Print_Titles" localSheetId="2">'2.งบดำเนินงาน'!$1:$5</definedName>
    <definedName name="_xlnm.Print_Titles" localSheetId="3">'3.งบลงทุน'!$1:$5</definedName>
    <definedName name="_xlnm.Print_Titles" localSheetId="4">'4.งบอุดหนุน'!$1:$5</definedName>
    <definedName name="_xlnm.Print_Titles" localSheetId="5">'5.งบรายจ่ายอื่น'!$A:$B,'5.งบรายจ่ายอื่น'!$4:$5</definedName>
    <definedName name="_xlnm.Print_Titles" localSheetId="0">'รวมส่วนภูมิภาค(1+2+3+4+5)'!$1:$5</definedName>
    <definedName name="_xlnm.Print_Titles" localSheetId="6">'รวมส่วนภูมิภาค(1+2+3+4+5) (2)'!$1:$5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6" l="1"/>
  <c r="Y18" i="6"/>
  <c r="I18" i="6"/>
  <c r="C82" i="4"/>
  <c r="C81" i="2" l="1"/>
  <c r="C80" i="2"/>
  <c r="C79" i="2"/>
  <c r="C76" i="2"/>
  <c r="C72" i="4"/>
  <c r="C71" i="4"/>
  <c r="C68" i="4"/>
  <c r="C63" i="4"/>
  <c r="C61" i="4"/>
  <c r="C56" i="4"/>
  <c r="C55" i="4"/>
  <c r="C54" i="4"/>
  <c r="C50" i="4" l="1"/>
  <c r="C47" i="4"/>
  <c r="AA45" i="6"/>
  <c r="C45" i="4"/>
  <c r="C40" i="4"/>
  <c r="C37" i="4"/>
  <c r="C34" i="3"/>
  <c r="C33" i="4"/>
  <c r="C30" i="4" l="1"/>
  <c r="C28" i="4"/>
  <c r="C26" i="4"/>
  <c r="C24" i="4"/>
  <c r="C20" i="4"/>
  <c r="C12" i="4" l="1"/>
  <c r="C8" i="4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8" i="6"/>
  <c r="AI67" i="6"/>
  <c r="AI66" i="6"/>
  <c r="AI65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C82" i="3" l="1"/>
  <c r="K82" i="3"/>
  <c r="K79" i="3"/>
  <c r="K78" i="3"/>
  <c r="K61" i="3"/>
  <c r="K60" i="3"/>
  <c r="K55" i="3"/>
  <c r="K47" i="3"/>
  <c r="G48" i="3"/>
  <c r="C75" i="3"/>
  <c r="C65" i="3"/>
  <c r="C62" i="3"/>
  <c r="C50" i="3"/>
  <c r="C47" i="3"/>
  <c r="C36" i="3"/>
  <c r="C32" i="3"/>
  <c r="C31" i="3"/>
  <c r="C15" i="3"/>
  <c r="C14" i="3"/>
  <c r="W29" i="6"/>
  <c r="K41" i="3" l="1"/>
  <c r="K74" i="3" l="1"/>
  <c r="K49" i="3"/>
  <c r="K46" i="3"/>
  <c r="K19" i="3"/>
  <c r="K48" i="3"/>
  <c r="K72" i="3"/>
  <c r="K68" i="3"/>
  <c r="K51" i="3"/>
  <c r="K37" i="3"/>
  <c r="K15" i="3"/>
  <c r="K81" i="3"/>
  <c r="K80" i="3"/>
  <c r="K77" i="3"/>
  <c r="K76" i="3"/>
  <c r="K75" i="3"/>
  <c r="K73" i="3"/>
  <c r="K71" i="3"/>
  <c r="K70" i="3"/>
  <c r="K69" i="3"/>
  <c r="K67" i="3"/>
  <c r="K66" i="3"/>
  <c r="K65" i="3" l="1"/>
  <c r="K64" i="3"/>
  <c r="K63" i="3"/>
  <c r="K62" i="3"/>
  <c r="K59" i="3"/>
  <c r="K58" i="3"/>
  <c r="K57" i="3"/>
  <c r="K56" i="3"/>
  <c r="K54" i="3"/>
  <c r="K53" i="3"/>
  <c r="K52" i="3"/>
  <c r="K50" i="3"/>
  <c r="K45" i="3"/>
  <c r="K44" i="3"/>
  <c r="K43" i="3" l="1"/>
  <c r="K42" i="3"/>
  <c r="K40" i="3"/>
  <c r="K39" i="3"/>
  <c r="K38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8" i="3"/>
  <c r="K17" i="3"/>
  <c r="K16" i="3"/>
  <c r="K14" i="3"/>
  <c r="K13" i="3"/>
  <c r="K12" i="3"/>
  <c r="K11" i="3"/>
  <c r="K10" i="3"/>
  <c r="K9" i="3"/>
  <c r="K8" i="3"/>
  <c r="K7" i="3"/>
  <c r="C77" i="3"/>
  <c r="C72" i="3"/>
  <c r="C71" i="3"/>
  <c r="C69" i="3"/>
  <c r="C63" i="3"/>
  <c r="C6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3" i="3"/>
  <c r="C12" i="3"/>
  <c r="C11" i="3"/>
  <c r="C10" i="3"/>
  <c r="C9" i="3"/>
  <c r="C8" i="3"/>
  <c r="C7" i="3"/>
  <c r="W31" i="6"/>
  <c r="W47" i="6"/>
  <c r="W60" i="6"/>
  <c r="W66" i="6"/>
  <c r="W61" i="6"/>
  <c r="W15" i="6"/>
  <c r="W14" i="6"/>
  <c r="W12" i="6"/>
  <c r="W11" i="6"/>
  <c r="W10" i="6"/>
  <c r="C74" i="3"/>
  <c r="C73" i="3"/>
  <c r="C68" i="3"/>
  <c r="C51" i="3"/>
  <c r="C41" i="3"/>
  <c r="C40" i="3"/>
  <c r="AI31" i="6"/>
  <c r="AI69" i="6"/>
  <c r="T6" i="6" l="1"/>
  <c r="C10" i="4" l="1"/>
  <c r="C81" i="4" l="1"/>
  <c r="C80" i="4"/>
  <c r="C79" i="4"/>
  <c r="C77" i="4"/>
  <c r="C75" i="4"/>
  <c r="C70" i="4"/>
  <c r="C67" i="4"/>
  <c r="C65" i="4" l="1"/>
  <c r="C59" i="4"/>
  <c r="C53" i="4"/>
  <c r="C52" i="4"/>
  <c r="C48" i="4" l="1"/>
  <c r="C44" i="4"/>
  <c r="C43" i="4"/>
  <c r="C42" i="4"/>
  <c r="C41" i="4"/>
  <c r="C39" i="4"/>
  <c r="C38" i="4"/>
  <c r="C36" i="4"/>
  <c r="C35" i="4"/>
  <c r="C32" i="4"/>
  <c r="C29" i="4"/>
  <c r="C25" i="4"/>
  <c r="C22" i="4" l="1"/>
  <c r="C21" i="4"/>
  <c r="C17" i="4"/>
  <c r="C14" i="4"/>
  <c r="C13" i="4"/>
  <c r="C22" i="2"/>
  <c r="C11" i="4" l="1"/>
  <c r="C7" i="4"/>
  <c r="C78" i="4"/>
  <c r="C76" i="4"/>
  <c r="C73" i="4"/>
  <c r="C74" i="4"/>
  <c r="C57" i="4"/>
  <c r="C58" i="4"/>
  <c r="C60" i="4"/>
  <c r="C62" i="4"/>
  <c r="C64" i="4"/>
  <c r="C66" i="4"/>
  <c r="C69" i="4"/>
  <c r="C46" i="4"/>
  <c r="C49" i="4"/>
  <c r="C51" i="4"/>
  <c r="C31" i="4"/>
  <c r="C34" i="4"/>
  <c r="C27" i="4"/>
  <c r="C23" i="4"/>
  <c r="C15" i="4"/>
  <c r="C16" i="4"/>
  <c r="C18" i="4"/>
  <c r="C19" i="4"/>
  <c r="C9" i="4"/>
  <c r="C82" i="2"/>
  <c r="C78" i="2"/>
  <c r="C77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W53" i="6"/>
  <c r="AA63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7" i="6"/>
  <c r="C80" i="5"/>
  <c r="C81" i="5"/>
  <c r="C79" i="5"/>
  <c r="C81" i="3"/>
  <c r="C80" i="3"/>
  <c r="C79" i="3"/>
  <c r="C78" i="3"/>
  <c r="C76" i="3"/>
  <c r="C70" i="3"/>
  <c r="C67" i="3"/>
  <c r="C66" i="3"/>
  <c r="C64" i="3"/>
  <c r="C60" i="3"/>
  <c r="C59" i="3"/>
  <c r="C58" i="3"/>
  <c r="C57" i="3"/>
  <c r="C56" i="3"/>
  <c r="C55" i="3"/>
  <c r="C54" i="3"/>
  <c r="C53" i="3"/>
  <c r="C52" i="3"/>
  <c r="C49" i="3"/>
  <c r="C48" i="3"/>
  <c r="C46" i="3"/>
  <c r="C45" i="3"/>
  <c r="C44" i="3"/>
  <c r="C43" i="3"/>
  <c r="C42" i="3"/>
  <c r="C39" i="3"/>
  <c r="C38" i="3"/>
  <c r="C37" i="3"/>
  <c r="C35" i="3"/>
  <c r="C33" i="3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5" i="6"/>
  <c r="W64" i="6"/>
  <c r="W63" i="6"/>
  <c r="W62" i="6"/>
  <c r="W59" i="6"/>
  <c r="W58" i="6"/>
  <c r="W57" i="6"/>
  <c r="W56" i="6"/>
  <c r="W55" i="6"/>
  <c r="W54" i="6"/>
  <c r="W52" i="6"/>
  <c r="W51" i="6"/>
  <c r="W50" i="6"/>
  <c r="W49" i="6"/>
  <c r="W48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0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3" i="6"/>
  <c r="W9" i="6"/>
  <c r="W8" i="6"/>
  <c r="W7" i="6"/>
  <c r="O81" i="6"/>
  <c r="O75" i="6"/>
  <c r="O61" i="6"/>
  <c r="O55" i="6"/>
  <c r="O50" i="6"/>
  <c r="O42" i="6"/>
  <c r="O41" i="6"/>
  <c r="O36" i="6"/>
  <c r="O23" i="6"/>
  <c r="O19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7" i="6"/>
  <c r="AE43" i="6" l="1"/>
  <c r="AE42" i="6"/>
  <c r="AE41" i="6"/>
  <c r="AQ81" i="6" l="1"/>
  <c r="AQ80" i="6"/>
  <c r="AQ76" i="6"/>
  <c r="AQ75" i="6"/>
  <c r="N21" i="3" l="1"/>
  <c r="AM7" i="6" l="1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 l="1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7" i="6"/>
  <c r="C8" i="5" l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82" i="5"/>
  <c r="C7" i="5"/>
  <c r="AQ71" i="6" l="1"/>
  <c r="O6" i="6" l="1"/>
  <c r="E6" i="4" l="1"/>
  <c r="E6" i="3"/>
  <c r="U6" i="6" l="1"/>
  <c r="AQ24" i="6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7" i="5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" i="4"/>
  <c r="F9" i="4"/>
  <c r="F7" i="4"/>
  <c r="F10" i="4"/>
  <c r="BE8" i="6" l="1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E65" i="6"/>
  <c r="BE66" i="6"/>
  <c r="BE67" i="6"/>
  <c r="BE68" i="6"/>
  <c r="BE69" i="6"/>
  <c r="BE70" i="6"/>
  <c r="BE71" i="6"/>
  <c r="BE72" i="6"/>
  <c r="BE73" i="6"/>
  <c r="BE74" i="6"/>
  <c r="BE75" i="6"/>
  <c r="BE76" i="6"/>
  <c r="BE77" i="6"/>
  <c r="BE78" i="6"/>
  <c r="BE79" i="6"/>
  <c r="BE80" i="6"/>
  <c r="BE81" i="6"/>
  <c r="BE82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D65" i="6"/>
  <c r="BD66" i="6"/>
  <c r="BD67" i="6"/>
  <c r="BD68" i="6"/>
  <c r="BD69" i="6"/>
  <c r="BD70" i="6"/>
  <c r="BD71" i="6"/>
  <c r="BD72" i="6"/>
  <c r="BD73" i="6"/>
  <c r="BD74" i="6"/>
  <c r="BD75" i="6"/>
  <c r="BD76" i="6"/>
  <c r="BD77" i="6"/>
  <c r="BD78" i="6"/>
  <c r="BD79" i="6"/>
  <c r="BD80" i="6"/>
  <c r="BD81" i="6"/>
  <c r="BD82" i="6"/>
  <c r="BC8" i="6"/>
  <c r="BC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/>
  <c r="BC66" i="6"/>
  <c r="BC67" i="6"/>
  <c r="BC68" i="6"/>
  <c r="BC69" i="6"/>
  <c r="BC70" i="6"/>
  <c r="BC71" i="6"/>
  <c r="BC72" i="6"/>
  <c r="BC73" i="6"/>
  <c r="BC74" i="6"/>
  <c r="BC75" i="6"/>
  <c r="BC76" i="6"/>
  <c r="BC77" i="6"/>
  <c r="BC78" i="6"/>
  <c r="BC79" i="6"/>
  <c r="BC80" i="6"/>
  <c r="BC81" i="6"/>
  <c r="BC82" i="6"/>
  <c r="AZ6" i="6"/>
  <c r="BA6" i="6"/>
  <c r="AY6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Q6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BF77" i="6" l="1"/>
  <c r="BF71" i="6"/>
  <c r="BF65" i="6"/>
  <c r="BF59" i="6"/>
  <c r="BF53" i="6"/>
  <c r="BF47" i="6"/>
  <c r="BF41" i="6"/>
  <c r="BF35" i="6"/>
  <c r="BF29" i="6"/>
  <c r="BF23" i="6"/>
  <c r="BF17" i="6"/>
  <c r="BF11" i="6"/>
  <c r="BF78" i="6"/>
  <c r="BF73" i="6"/>
  <c r="BF67" i="6"/>
  <c r="BF61" i="6"/>
  <c r="BF55" i="6"/>
  <c r="BF49" i="6"/>
  <c r="BF43" i="6"/>
  <c r="BF37" i="6"/>
  <c r="BF31" i="6"/>
  <c r="BF25" i="6"/>
  <c r="BF19" i="6"/>
  <c r="BF13" i="6"/>
  <c r="BF79" i="6"/>
  <c r="BF72" i="6"/>
  <c r="BF66" i="6"/>
  <c r="BF60" i="6"/>
  <c r="BF54" i="6"/>
  <c r="BF48" i="6"/>
  <c r="BF42" i="6"/>
  <c r="BF36" i="6"/>
  <c r="BF30" i="6"/>
  <c r="BF24" i="6"/>
  <c r="BF18" i="6"/>
  <c r="BF12" i="6"/>
  <c r="BF75" i="6"/>
  <c r="BF63" i="6"/>
  <c r="BF33" i="6"/>
  <c r="BF80" i="6"/>
  <c r="BF74" i="6"/>
  <c r="BF68" i="6"/>
  <c r="BF62" i="6"/>
  <c r="BF56" i="6"/>
  <c r="BF50" i="6"/>
  <c r="BF44" i="6"/>
  <c r="BF38" i="6"/>
  <c r="BF32" i="6"/>
  <c r="BF26" i="6"/>
  <c r="BF20" i="6"/>
  <c r="BF14" i="6"/>
  <c r="BF8" i="6"/>
  <c r="BF81" i="6"/>
  <c r="BF69" i="6"/>
  <c r="BF57" i="6"/>
  <c r="BF51" i="6"/>
  <c r="BF45" i="6"/>
  <c r="BF39" i="6"/>
  <c r="BF27" i="6"/>
  <c r="BF21" i="6"/>
  <c r="BF15" i="6"/>
  <c r="BF9" i="6"/>
  <c r="BF82" i="6"/>
  <c r="BF76" i="6"/>
  <c r="BF70" i="6"/>
  <c r="BF64" i="6"/>
  <c r="BF58" i="6"/>
  <c r="BF52" i="6"/>
  <c r="BF46" i="6"/>
  <c r="BF40" i="6"/>
  <c r="BF34" i="6"/>
  <c r="BF28" i="6"/>
  <c r="BF22" i="6"/>
  <c r="BF16" i="6"/>
  <c r="BF10" i="6"/>
  <c r="G79" i="4"/>
  <c r="G22" i="4" l="1"/>
  <c r="G7" i="4"/>
  <c r="G8" i="4"/>
  <c r="G9" i="4"/>
  <c r="BB68" i="6" l="1"/>
  <c r="BB6" i="6" s="1"/>
  <c r="G34" i="4" l="1"/>
  <c r="G68" i="4" l="1"/>
  <c r="G59" i="4"/>
  <c r="G69" i="4" l="1"/>
  <c r="G65" i="4"/>
  <c r="G58" i="4"/>
  <c r="G54" i="4"/>
  <c r="G23" i="4"/>
  <c r="P23" i="3" l="1"/>
  <c r="D23" i="1" l="1"/>
  <c r="D23" i="8"/>
  <c r="G80" i="4"/>
  <c r="G43" i="4"/>
  <c r="G62" i="4"/>
  <c r="G72" i="4"/>
  <c r="G31" i="4"/>
  <c r="G74" i="4"/>
  <c r="G53" i="4"/>
  <c r="G30" i="4"/>
  <c r="G71" i="4"/>
  <c r="G81" i="4"/>
  <c r="G73" i="4"/>
  <c r="G35" i="4"/>
  <c r="G78" i="4"/>
  <c r="G17" i="4"/>
  <c r="G63" i="4"/>
  <c r="BH63" i="6" l="1"/>
  <c r="BH46" i="6" l="1"/>
  <c r="P77" i="3" l="1"/>
  <c r="P51" i="3"/>
  <c r="P25" i="3"/>
  <c r="P18" i="3"/>
  <c r="N18" i="3"/>
  <c r="Q18" i="3"/>
  <c r="D18" i="1" l="1"/>
  <c r="D18" i="8"/>
  <c r="D77" i="1"/>
  <c r="D77" i="8"/>
  <c r="D51" i="1"/>
  <c r="D51" i="8"/>
  <c r="D25" i="1"/>
  <c r="D25" i="8"/>
  <c r="E18" i="1"/>
  <c r="E18" i="8"/>
  <c r="J18" i="3"/>
  <c r="F18" i="8" l="1"/>
  <c r="G60" i="4"/>
  <c r="G55" i="4"/>
  <c r="G33" i="4"/>
  <c r="G32" i="4"/>
  <c r="G76" i="4"/>
  <c r="G67" i="4"/>
  <c r="BE7" i="6" l="1"/>
  <c r="AW6" i="6"/>
  <c r="P68" i="3" l="1"/>
  <c r="Q8" i="3"/>
  <c r="E8" i="8" s="1"/>
  <c r="P8" i="3"/>
  <c r="D68" i="1" l="1"/>
  <c r="D68" i="8"/>
  <c r="D8" i="1"/>
  <c r="D8" i="8"/>
  <c r="F8" i="8" s="1"/>
  <c r="BH6" i="6"/>
  <c r="BD7" i="6" l="1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G82" i="4"/>
  <c r="G57" i="4"/>
  <c r="AH7" i="6" l="1"/>
  <c r="AG6" i="6"/>
  <c r="AF6" i="6"/>
  <c r="AE6" i="6" l="1"/>
  <c r="AH6" i="6" s="1"/>
  <c r="AP7" i="6" l="1"/>
  <c r="AO6" i="6"/>
  <c r="AN6" i="6"/>
  <c r="AM6" i="6" l="1"/>
  <c r="AP6" i="6" s="1"/>
  <c r="G64" i="4" l="1"/>
  <c r="D6" i="4" l="1"/>
  <c r="E6" i="2"/>
  <c r="AX7" i="6" l="1"/>
  <c r="AV6" i="6"/>
  <c r="AU6" i="6" l="1"/>
  <c r="AX6" i="6" s="1"/>
  <c r="E6" i="6" l="1"/>
  <c r="D6" i="6"/>
  <c r="C6" i="6" l="1"/>
  <c r="F6" i="6" s="1"/>
  <c r="F7" i="6"/>
  <c r="F18" i="3" l="1"/>
  <c r="O18" i="3"/>
  <c r="C18" i="8" s="1"/>
  <c r="H18" i="8" s="1"/>
  <c r="N7" i="6"/>
  <c r="M6" i="6"/>
  <c r="L6" i="6"/>
  <c r="K6" i="6"/>
  <c r="N6" i="6" l="1"/>
  <c r="V7" i="6" l="1"/>
  <c r="AL7" i="6"/>
  <c r="AK6" i="6"/>
  <c r="AJ6" i="6"/>
  <c r="I6" i="6"/>
  <c r="H6" i="6"/>
  <c r="J7" i="6" l="1"/>
  <c r="BC7" i="6"/>
  <c r="BG7" i="6" s="1"/>
  <c r="S6" i="6"/>
  <c r="V6" i="6" s="1"/>
  <c r="AI6" i="6"/>
  <c r="AL6" i="6" s="1"/>
  <c r="G6" i="6"/>
  <c r="R7" i="6"/>
  <c r="Q6" i="6"/>
  <c r="P6" i="6"/>
  <c r="J6" i="6" l="1"/>
  <c r="R6" i="6"/>
  <c r="Z7" i="6"/>
  <c r="Y6" i="6"/>
  <c r="X6" i="6"/>
  <c r="W6" i="6"/>
  <c r="AT7" i="6"/>
  <c r="AS6" i="6"/>
  <c r="AR6" i="6"/>
  <c r="Z6" i="6" l="1"/>
  <c r="AT6" i="6"/>
  <c r="AD7" i="6"/>
  <c r="BF7" i="6" s="1"/>
  <c r="G66" i="4" l="1"/>
  <c r="G75" i="4" l="1"/>
  <c r="C6" i="4"/>
  <c r="G10" i="4" l="1"/>
  <c r="G11" i="4"/>
  <c r="G13" i="4"/>
  <c r="G14" i="4"/>
  <c r="G15" i="4"/>
  <c r="G24" i="4"/>
  <c r="G26" i="4"/>
  <c r="G28" i="4"/>
  <c r="G29" i="4"/>
  <c r="G36" i="4"/>
  <c r="G38" i="4"/>
  <c r="G39" i="4"/>
  <c r="G42" i="4"/>
  <c r="G44" i="4"/>
  <c r="G45" i="4"/>
  <c r="G48" i="4"/>
  <c r="G51" i="4"/>
  <c r="G52" i="4"/>
  <c r="N10" i="3"/>
  <c r="N11" i="3"/>
  <c r="N12" i="3"/>
  <c r="N13" i="3"/>
  <c r="N14" i="3"/>
  <c r="N15" i="3"/>
  <c r="N16" i="3"/>
  <c r="N17" i="3"/>
  <c r="N19" i="3"/>
  <c r="N20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" i="3"/>
  <c r="N9" i="3"/>
  <c r="N7" i="3"/>
  <c r="J10" i="3"/>
  <c r="J11" i="3"/>
  <c r="J12" i="3"/>
  <c r="J13" i="3"/>
  <c r="J14" i="3"/>
  <c r="J15" i="3"/>
  <c r="J16" i="3"/>
  <c r="J17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" i="3"/>
  <c r="J9" i="3"/>
  <c r="J7" i="3"/>
  <c r="F10" i="3"/>
  <c r="F11" i="3"/>
  <c r="F12" i="3"/>
  <c r="F13" i="3"/>
  <c r="F14" i="3"/>
  <c r="F15" i="3"/>
  <c r="F16" i="3"/>
  <c r="F17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" i="3"/>
  <c r="F9" i="3"/>
  <c r="F7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7" i="2"/>
  <c r="D6" i="5" l="1"/>
  <c r="D6" i="2" l="1"/>
  <c r="AB6" i="6" l="1"/>
  <c r="BD6" i="6" s="1"/>
  <c r="P7" i="3" l="1"/>
  <c r="P9" i="3"/>
  <c r="P10" i="3"/>
  <c r="P11" i="3"/>
  <c r="P12" i="3"/>
  <c r="D12" i="8" s="1"/>
  <c r="P13" i="3"/>
  <c r="D13" i="8" s="1"/>
  <c r="P14" i="3"/>
  <c r="D14" i="8" s="1"/>
  <c r="P15" i="3"/>
  <c r="D15" i="8" s="1"/>
  <c r="P16" i="3"/>
  <c r="D16" i="8" s="1"/>
  <c r="P17" i="3"/>
  <c r="D17" i="8" s="1"/>
  <c r="P19" i="3"/>
  <c r="D19" i="8" s="1"/>
  <c r="P20" i="3"/>
  <c r="D20" i="8" s="1"/>
  <c r="P21" i="3"/>
  <c r="D21" i="8" s="1"/>
  <c r="P22" i="3"/>
  <c r="D22" i="8" s="1"/>
  <c r="P24" i="3"/>
  <c r="D24" i="8" s="1"/>
  <c r="P26" i="3"/>
  <c r="D26" i="8" s="1"/>
  <c r="P27" i="3"/>
  <c r="D27" i="8" s="1"/>
  <c r="P28" i="3"/>
  <c r="D28" i="8" s="1"/>
  <c r="P29" i="3"/>
  <c r="D29" i="8" s="1"/>
  <c r="P30" i="3"/>
  <c r="P31" i="3"/>
  <c r="D31" i="8" s="1"/>
  <c r="P32" i="3"/>
  <c r="D32" i="8" s="1"/>
  <c r="P33" i="3"/>
  <c r="D33" i="8" s="1"/>
  <c r="P34" i="3"/>
  <c r="D34" i="8" s="1"/>
  <c r="P35" i="3"/>
  <c r="D35" i="8" s="1"/>
  <c r="P36" i="3"/>
  <c r="D36" i="8" s="1"/>
  <c r="P37" i="3"/>
  <c r="D37" i="8" s="1"/>
  <c r="P38" i="3"/>
  <c r="D38" i="8" s="1"/>
  <c r="P39" i="3"/>
  <c r="D39" i="8" s="1"/>
  <c r="P40" i="3"/>
  <c r="D40" i="8" s="1"/>
  <c r="P41" i="3"/>
  <c r="D41" i="8" s="1"/>
  <c r="P42" i="3"/>
  <c r="D42" i="8" s="1"/>
  <c r="P43" i="3"/>
  <c r="D43" i="8" s="1"/>
  <c r="P44" i="3"/>
  <c r="D44" i="8" s="1"/>
  <c r="P45" i="3"/>
  <c r="D45" i="8" s="1"/>
  <c r="P46" i="3"/>
  <c r="D46" i="8" s="1"/>
  <c r="P47" i="3"/>
  <c r="D47" i="8" s="1"/>
  <c r="P48" i="3"/>
  <c r="D48" i="8" s="1"/>
  <c r="P49" i="3"/>
  <c r="D49" i="8" s="1"/>
  <c r="P50" i="3"/>
  <c r="D50" i="8" s="1"/>
  <c r="P52" i="3"/>
  <c r="D52" i="8" s="1"/>
  <c r="P53" i="3"/>
  <c r="D53" i="8" s="1"/>
  <c r="P54" i="3"/>
  <c r="D54" i="8" s="1"/>
  <c r="P55" i="3"/>
  <c r="D55" i="8" s="1"/>
  <c r="P56" i="3"/>
  <c r="D56" i="8" s="1"/>
  <c r="P57" i="3"/>
  <c r="D57" i="8" s="1"/>
  <c r="P58" i="3"/>
  <c r="D58" i="8" s="1"/>
  <c r="P59" i="3"/>
  <c r="D59" i="8" s="1"/>
  <c r="P60" i="3"/>
  <c r="D60" i="8" s="1"/>
  <c r="P61" i="3"/>
  <c r="D61" i="8" s="1"/>
  <c r="P62" i="3"/>
  <c r="D62" i="8" s="1"/>
  <c r="P63" i="3"/>
  <c r="D63" i="8" s="1"/>
  <c r="P64" i="3"/>
  <c r="D64" i="8" s="1"/>
  <c r="P65" i="3"/>
  <c r="D65" i="8" s="1"/>
  <c r="P66" i="3"/>
  <c r="D66" i="8" s="1"/>
  <c r="P67" i="3"/>
  <c r="D67" i="8" s="1"/>
  <c r="P69" i="3"/>
  <c r="D69" i="8" s="1"/>
  <c r="P70" i="3"/>
  <c r="D70" i="8" s="1"/>
  <c r="P71" i="3"/>
  <c r="D71" i="8" s="1"/>
  <c r="P72" i="3"/>
  <c r="D72" i="8" s="1"/>
  <c r="P73" i="3"/>
  <c r="D73" i="8" s="1"/>
  <c r="P74" i="3"/>
  <c r="D74" i="8" s="1"/>
  <c r="P75" i="3"/>
  <c r="D75" i="8" s="1"/>
  <c r="P76" i="3"/>
  <c r="D76" i="8" s="1"/>
  <c r="P78" i="3"/>
  <c r="P79" i="3"/>
  <c r="D79" i="8" s="1"/>
  <c r="P80" i="3"/>
  <c r="D80" i="8" s="1"/>
  <c r="P81" i="3"/>
  <c r="D81" i="8" s="1"/>
  <c r="P82" i="3"/>
  <c r="D82" i="8" s="1"/>
  <c r="L6" i="3"/>
  <c r="H6" i="3"/>
  <c r="D6" i="3"/>
  <c r="Q59" i="3"/>
  <c r="E59" i="8" s="1"/>
  <c r="Q60" i="3"/>
  <c r="E60" i="8" s="1"/>
  <c r="D11" i="1" l="1"/>
  <c r="D11" i="8"/>
  <c r="D78" i="1"/>
  <c r="D78" i="8"/>
  <c r="F60" i="8"/>
  <c r="F59" i="8"/>
  <c r="D30" i="1"/>
  <c r="D30" i="8"/>
  <c r="D10" i="1"/>
  <c r="D10" i="8"/>
  <c r="D9" i="1"/>
  <c r="D9" i="8"/>
  <c r="D7" i="1"/>
  <c r="D7" i="8"/>
  <c r="D72" i="1"/>
  <c r="D59" i="1"/>
  <c r="D53" i="1"/>
  <c r="D46" i="1"/>
  <c r="D40" i="1"/>
  <c r="D34" i="1"/>
  <c r="D28" i="1"/>
  <c r="D20" i="1"/>
  <c r="D13" i="1"/>
  <c r="D71" i="1"/>
  <c r="D64" i="1"/>
  <c r="D58" i="1"/>
  <c r="D52" i="1"/>
  <c r="D45" i="1"/>
  <c r="D39" i="1"/>
  <c r="D33" i="1"/>
  <c r="D27" i="1"/>
  <c r="D19" i="1"/>
  <c r="D12" i="1"/>
  <c r="D65" i="1"/>
  <c r="D76" i="1"/>
  <c r="D70" i="1"/>
  <c r="D63" i="1"/>
  <c r="D57" i="1"/>
  <c r="D50" i="1"/>
  <c r="D44" i="1"/>
  <c r="D38" i="1"/>
  <c r="D32" i="1"/>
  <c r="D26" i="1"/>
  <c r="D17" i="1"/>
  <c r="D79" i="1"/>
  <c r="D82" i="1"/>
  <c r="D75" i="1"/>
  <c r="D69" i="1"/>
  <c r="D62" i="1"/>
  <c r="D56" i="1"/>
  <c r="D49" i="1"/>
  <c r="D43" i="1"/>
  <c r="D37" i="1"/>
  <c r="D31" i="1"/>
  <c r="D24" i="1"/>
  <c r="D16" i="1"/>
  <c r="D81" i="1"/>
  <c r="D74" i="1"/>
  <c r="D67" i="1"/>
  <c r="D61" i="1"/>
  <c r="D55" i="1"/>
  <c r="D48" i="1"/>
  <c r="D42" i="1"/>
  <c r="D36" i="1"/>
  <c r="D22" i="1"/>
  <c r="D15" i="1"/>
  <c r="D80" i="1"/>
  <c r="D73" i="1"/>
  <c r="D66" i="1"/>
  <c r="D60" i="1"/>
  <c r="D54" i="1"/>
  <c r="D47" i="1"/>
  <c r="D41" i="1"/>
  <c r="D35" i="1"/>
  <c r="D29" i="1"/>
  <c r="D21" i="1"/>
  <c r="D14" i="1"/>
  <c r="P6" i="3"/>
  <c r="D6" i="8" l="1"/>
  <c r="D6" i="1"/>
  <c r="O64" i="3"/>
  <c r="C64" i="8" s="1"/>
  <c r="C6" i="3"/>
  <c r="F6" i="3" s="1"/>
  <c r="G6" i="3"/>
  <c r="K6" i="3" l="1"/>
  <c r="O7" i="3"/>
  <c r="C7" i="8" s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3" i="2"/>
  <c r="G25" i="2"/>
  <c r="G26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7" i="2"/>
  <c r="G59" i="2"/>
  <c r="G61" i="2"/>
  <c r="G62" i="2"/>
  <c r="G63" i="2"/>
  <c r="G64" i="2"/>
  <c r="G65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D8" i="7"/>
  <c r="M8" i="7"/>
  <c r="S8" i="7"/>
  <c r="X8" i="7"/>
  <c r="Y8" i="7"/>
  <c r="AA8" i="7"/>
  <c r="AB8" i="7"/>
  <c r="AD8" i="7"/>
  <c r="AE8" i="7"/>
  <c r="AG8" i="7"/>
  <c r="AH8" i="7"/>
  <c r="AJ8" i="7"/>
  <c r="AN8" i="7"/>
  <c r="AP8" i="7"/>
  <c r="AQ8" i="7"/>
  <c r="AS8" i="7"/>
  <c r="AT8" i="7"/>
  <c r="AV8" i="7"/>
  <c r="AW8" i="7"/>
  <c r="BB8" i="7"/>
  <c r="E9" i="7"/>
  <c r="F9" i="7"/>
  <c r="I9" i="7"/>
  <c r="L9" i="7"/>
  <c r="P9" i="7"/>
  <c r="T9" i="7"/>
  <c r="W9" i="7"/>
  <c r="Z9" i="7"/>
  <c r="AC9" i="7"/>
  <c r="AF9" i="7"/>
  <c r="AI9" i="7"/>
  <c r="AL9" i="7"/>
  <c r="AO9" i="7"/>
  <c r="AR9" i="7"/>
  <c r="AU9" i="7"/>
  <c r="AX9" i="7"/>
  <c r="AY9" i="7"/>
  <c r="AZ9" i="7"/>
  <c r="BD9" i="7"/>
  <c r="E10" i="7"/>
  <c r="F10" i="7"/>
  <c r="H10" i="7" s="1"/>
  <c r="I10" i="7"/>
  <c r="L10" i="7"/>
  <c r="N10" i="7" s="1"/>
  <c r="P10" i="7"/>
  <c r="T10" i="7"/>
  <c r="U10" i="7"/>
  <c r="W10" i="7" s="1"/>
  <c r="Z10" i="7"/>
  <c r="AC10" i="7"/>
  <c r="AF10" i="7"/>
  <c r="AI10" i="7"/>
  <c r="AL10" i="7"/>
  <c r="AO10" i="7"/>
  <c r="AR10" i="7"/>
  <c r="AU10" i="7"/>
  <c r="AX10" i="7"/>
  <c r="AZ10" i="7"/>
  <c r="BD10" i="7"/>
  <c r="E11" i="7"/>
  <c r="F11" i="7"/>
  <c r="H11" i="7" s="1"/>
  <c r="I11" i="7"/>
  <c r="K11" i="7" s="1"/>
  <c r="L11" i="7"/>
  <c r="N11" i="7" s="1"/>
  <c r="P11" i="7"/>
  <c r="T11" i="7"/>
  <c r="W11" i="7"/>
  <c r="Z11" i="7"/>
  <c r="AC11" i="7"/>
  <c r="AF11" i="7"/>
  <c r="AI11" i="7"/>
  <c r="AL11" i="7"/>
  <c r="AO11" i="7"/>
  <c r="AR11" i="7"/>
  <c r="AU11" i="7"/>
  <c r="AX11" i="7"/>
  <c r="AY11" i="7"/>
  <c r="AZ11" i="7"/>
  <c r="BF11" i="7" s="1"/>
  <c r="BD11" i="7"/>
  <c r="E12" i="7"/>
  <c r="F12" i="7"/>
  <c r="H12" i="7" s="1"/>
  <c r="I12" i="7"/>
  <c r="J12" i="7"/>
  <c r="P12" i="7" s="1"/>
  <c r="L12" i="7"/>
  <c r="N12" i="7" s="1"/>
  <c r="T12" i="7"/>
  <c r="W12" i="7"/>
  <c r="Z12" i="7"/>
  <c r="AC12" i="7"/>
  <c r="AF12" i="7"/>
  <c r="AI12" i="7"/>
  <c r="AL12" i="7"/>
  <c r="AO12" i="7"/>
  <c r="AR12" i="7"/>
  <c r="AU12" i="7"/>
  <c r="AX12" i="7"/>
  <c r="AY12" i="7"/>
  <c r="AZ12" i="7"/>
  <c r="BD12" i="7"/>
  <c r="E13" i="7"/>
  <c r="F13" i="7"/>
  <c r="I13" i="7"/>
  <c r="K13" i="7" s="1"/>
  <c r="L13" i="7"/>
  <c r="N13" i="7" s="1"/>
  <c r="P13" i="7"/>
  <c r="T13" i="7"/>
  <c r="W13" i="7"/>
  <c r="Z13" i="7"/>
  <c r="AC13" i="7"/>
  <c r="AF13" i="7"/>
  <c r="AI13" i="7"/>
  <c r="AL13" i="7"/>
  <c r="AO13" i="7"/>
  <c r="AR13" i="7"/>
  <c r="AU13" i="7"/>
  <c r="AX13" i="7"/>
  <c r="AY13" i="7"/>
  <c r="AZ13" i="7"/>
  <c r="BD13" i="7"/>
  <c r="E14" i="7"/>
  <c r="F14" i="7"/>
  <c r="I14" i="7"/>
  <c r="K14" i="7" s="1"/>
  <c r="L14" i="7"/>
  <c r="N14" i="7" s="1"/>
  <c r="P14" i="7"/>
  <c r="T14" i="7"/>
  <c r="W14" i="7"/>
  <c r="Z14" i="7"/>
  <c r="AC14" i="7"/>
  <c r="AF14" i="7"/>
  <c r="AI14" i="7"/>
  <c r="AL14" i="7"/>
  <c r="AO14" i="7"/>
  <c r="AR14" i="7"/>
  <c r="AU14" i="7"/>
  <c r="AX14" i="7"/>
  <c r="AY14" i="7"/>
  <c r="AZ14" i="7"/>
  <c r="BD14" i="7"/>
  <c r="E15" i="7"/>
  <c r="F15" i="7"/>
  <c r="H15" i="7" s="1"/>
  <c r="I15" i="7"/>
  <c r="J15" i="7"/>
  <c r="P15" i="7" s="1"/>
  <c r="L15" i="7"/>
  <c r="N15" i="7" s="1"/>
  <c r="T15" i="7"/>
  <c r="W15" i="7"/>
  <c r="Z15" i="7"/>
  <c r="AC15" i="7"/>
  <c r="AF15" i="7"/>
  <c r="AI15" i="7"/>
  <c r="AL15" i="7"/>
  <c r="AO15" i="7"/>
  <c r="AR15" i="7"/>
  <c r="AU15" i="7"/>
  <c r="AX15" i="7"/>
  <c r="AY15" i="7"/>
  <c r="AZ15" i="7"/>
  <c r="BD15" i="7"/>
  <c r="E16" i="7"/>
  <c r="F16" i="7"/>
  <c r="H16" i="7" s="1"/>
  <c r="I16" i="7"/>
  <c r="K16" i="7" s="1"/>
  <c r="L16" i="7"/>
  <c r="N16" i="7" s="1"/>
  <c r="P16" i="7"/>
  <c r="T16" i="7"/>
  <c r="W16" i="7"/>
  <c r="Z16" i="7"/>
  <c r="AC16" i="7"/>
  <c r="AF16" i="7"/>
  <c r="AI16" i="7"/>
  <c r="AL16" i="7"/>
  <c r="AO16" i="7"/>
  <c r="AR16" i="7"/>
  <c r="AU16" i="7"/>
  <c r="AX16" i="7"/>
  <c r="AY16" i="7"/>
  <c r="AZ16" i="7"/>
  <c r="BD16" i="7"/>
  <c r="E17" i="7"/>
  <c r="F17" i="7"/>
  <c r="H17" i="7" s="1"/>
  <c r="I17" i="7"/>
  <c r="K17" i="7" s="1"/>
  <c r="L17" i="7"/>
  <c r="N17" i="7" s="1"/>
  <c r="P17" i="7"/>
  <c r="T17" i="7"/>
  <c r="W17" i="7"/>
  <c r="Z17" i="7"/>
  <c r="AC17" i="7"/>
  <c r="AF17" i="7"/>
  <c r="AI17" i="7"/>
  <c r="AL17" i="7"/>
  <c r="AO17" i="7"/>
  <c r="AR17" i="7"/>
  <c r="AU17" i="7"/>
  <c r="AX17" i="7"/>
  <c r="AY17" i="7"/>
  <c r="AZ17" i="7"/>
  <c r="BC17" i="7"/>
  <c r="E18" i="7"/>
  <c r="F18" i="7"/>
  <c r="H18" i="7" s="1"/>
  <c r="I18" i="7"/>
  <c r="J18" i="7"/>
  <c r="P18" i="7" s="1"/>
  <c r="L18" i="7"/>
  <c r="N18" i="7" s="1"/>
  <c r="T18" i="7"/>
  <c r="U18" i="7"/>
  <c r="AY18" i="7" s="1"/>
  <c r="V18" i="7"/>
  <c r="AZ18" i="7" s="1"/>
  <c r="Z18" i="7"/>
  <c r="AC18" i="7"/>
  <c r="AF18" i="7"/>
  <c r="AI18" i="7"/>
  <c r="AL18" i="7"/>
  <c r="AO18" i="7"/>
  <c r="AR18" i="7"/>
  <c r="AU18" i="7"/>
  <c r="AX18" i="7"/>
  <c r="BD18" i="7"/>
  <c r="E19" i="7"/>
  <c r="F19" i="7"/>
  <c r="I19" i="7"/>
  <c r="J19" i="7"/>
  <c r="P19" i="7" s="1"/>
  <c r="L19" i="7"/>
  <c r="N19" i="7" s="1"/>
  <c r="T19" i="7"/>
  <c r="W19" i="7"/>
  <c r="Z19" i="7"/>
  <c r="AC19" i="7"/>
  <c r="AF19" i="7"/>
  <c r="AI19" i="7"/>
  <c r="AL19" i="7"/>
  <c r="AO19" i="7"/>
  <c r="AR19" i="7"/>
  <c r="AU19" i="7"/>
  <c r="AX19" i="7"/>
  <c r="AY19" i="7"/>
  <c r="AZ19" i="7"/>
  <c r="BD19" i="7"/>
  <c r="E20" i="7"/>
  <c r="F20" i="7"/>
  <c r="G20" i="7"/>
  <c r="G8" i="7" s="1"/>
  <c r="I20" i="7"/>
  <c r="J20" i="7"/>
  <c r="L20" i="7"/>
  <c r="N20" i="7" s="1"/>
  <c r="T20" i="7"/>
  <c r="V20" i="7"/>
  <c r="Z20" i="7"/>
  <c r="AC20" i="7"/>
  <c r="AF20" i="7"/>
  <c r="AI20" i="7"/>
  <c r="AK20" i="7"/>
  <c r="AK8" i="7" s="1"/>
  <c r="AL8" i="7" s="1"/>
  <c r="AO20" i="7"/>
  <c r="AR20" i="7"/>
  <c r="AU20" i="7"/>
  <c r="AX20" i="7"/>
  <c r="AY20" i="7"/>
  <c r="BD20" i="7"/>
  <c r="E21" i="7"/>
  <c r="F21" i="7"/>
  <c r="H21" i="7" s="1"/>
  <c r="I21" i="7"/>
  <c r="L21" i="7"/>
  <c r="N21" i="7" s="1"/>
  <c r="P21" i="7"/>
  <c r="T21" i="7"/>
  <c r="W21" i="7"/>
  <c r="Z21" i="7"/>
  <c r="AC21" i="7"/>
  <c r="AF21" i="7"/>
  <c r="AI21" i="7"/>
  <c r="AL21" i="7"/>
  <c r="AO21" i="7"/>
  <c r="AR21" i="7"/>
  <c r="AU21" i="7"/>
  <c r="AX21" i="7"/>
  <c r="AY21" i="7"/>
  <c r="AZ21" i="7"/>
  <c r="BD21" i="7"/>
  <c r="E22" i="7"/>
  <c r="F22" i="7"/>
  <c r="H22" i="7" s="1"/>
  <c r="I22" i="7"/>
  <c r="J22" i="7"/>
  <c r="L22" i="7"/>
  <c r="N22" i="7" s="1"/>
  <c r="T22" i="7"/>
  <c r="U22" i="7"/>
  <c r="AY22" i="7" s="1"/>
  <c r="V22" i="7"/>
  <c r="AZ22" i="7" s="1"/>
  <c r="Z22" i="7"/>
  <c r="AC22" i="7"/>
  <c r="AF22" i="7"/>
  <c r="AI22" i="7"/>
  <c r="AL22" i="7"/>
  <c r="AO22" i="7"/>
  <c r="AR22" i="7"/>
  <c r="AU22" i="7"/>
  <c r="AX22" i="7"/>
  <c r="BD22" i="7"/>
  <c r="E23" i="7"/>
  <c r="F23" i="7"/>
  <c r="H23" i="7" s="1"/>
  <c r="I23" i="7"/>
  <c r="J23" i="7"/>
  <c r="P23" i="7" s="1"/>
  <c r="L23" i="7"/>
  <c r="N23" i="7" s="1"/>
  <c r="T23" i="7"/>
  <c r="W23" i="7"/>
  <c r="Z23" i="7"/>
  <c r="AC23" i="7"/>
  <c r="AF23" i="7"/>
  <c r="AI23" i="7"/>
  <c r="AL23" i="7"/>
  <c r="AO23" i="7"/>
  <c r="AR23" i="7"/>
  <c r="AU23" i="7"/>
  <c r="AX23" i="7"/>
  <c r="AY23" i="7"/>
  <c r="AZ23" i="7"/>
  <c r="BD23" i="7"/>
  <c r="C24" i="7"/>
  <c r="F24" i="7"/>
  <c r="H24" i="7" s="1"/>
  <c r="I24" i="7"/>
  <c r="K24" i="7" s="1"/>
  <c r="L24" i="7"/>
  <c r="N24" i="7" s="1"/>
  <c r="P24" i="7"/>
  <c r="T24" i="7"/>
  <c r="W24" i="7"/>
  <c r="Z24" i="7"/>
  <c r="AC24" i="7"/>
  <c r="AF24" i="7"/>
  <c r="AI24" i="7"/>
  <c r="AL24" i="7"/>
  <c r="AO24" i="7"/>
  <c r="AR24" i="7"/>
  <c r="AU24" i="7"/>
  <c r="AX24" i="7"/>
  <c r="AY24" i="7"/>
  <c r="AZ24" i="7"/>
  <c r="BD24" i="7"/>
  <c r="E25" i="7"/>
  <c r="F25" i="7"/>
  <c r="H25" i="7" s="1"/>
  <c r="I25" i="7"/>
  <c r="J25" i="7"/>
  <c r="L25" i="7"/>
  <c r="N25" i="7" s="1"/>
  <c r="T25" i="7"/>
  <c r="W25" i="7"/>
  <c r="Z25" i="7"/>
  <c r="AC25" i="7"/>
  <c r="AF25" i="7"/>
  <c r="AI25" i="7"/>
  <c r="AL25" i="7"/>
  <c r="AO25" i="7"/>
  <c r="AR25" i="7"/>
  <c r="AU25" i="7"/>
  <c r="AX25" i="7"/>
  <c r="AY25" i="7"/>
  <c r="AZ25" i="7"/>
  <c r="BD25" i="7"/>
  <c r="C26" i="7"/>
  <c r="E26" i="7" s="1"/>
  <c r="F26" i="7"/>
  <c r="H26" i="7" s="1"/>
  <c r="I26" i="7"/>
  <c r="K26" i="7" s="1"/>
  <c r="L26" i="7"/>
  <c r="N26" i="7" s="1"/>
  <c r="P26" i="7"/>
  <c r="T26" i="7"/>
  <c r="W26" i="7"/>
  <c r="Z26" i="7"/>
  <c r="AC26" i="7"/>
  <c r="AF26" i="7"/>
  <c r="AI26" i="7"/>
  <c r="AL26" i="7"/>
  <c r="AO26" i="7"/>
  <c r="AR26" i="7"/>
  <c r="AU26" i="7"/>
  <c r="AX26" i="7"/>
  <c r="AY26" i="7"/>
  <c r="AZ26" i="7"/>
  <c r="BD26" i="7"/>
  <c r="E27" i="7"/>
  <c r="F27" i="7"/>
  <c r="I27" i="7"/>
  <c r="K27" i="7" s="1"/>
  <c r="L27" i="7"/>
  <c r="N27" i="7" s="1"/>
  <c r="P27" i="7"/>
  <c r="T27" i="7"/>
  <c r="W27" i="7"/>
  <c r="Z27" i="7"/>
  <c r="AC27" i="7"/>
  <c r="AF27" i="7"/>
  <c r="AI27" i="7"/>
  <c r="AL27" i="7"/>
  <c r="AO27" i="7"/>
  <c r="AR27" i="7"/>
  <c r="AU27" i="7"/>
  <c r="AX27" i="7"/>
  <c r="AY27" i="7"/>
  <c r="AZ27" i="7"/>
  <c r="BD27" i="7"/>
  <c r="E28" i="7"/>
  <c r="F28" i="7"/>
  <c r="I28" i="7"/>
  <c r="K28" i="7" s="1"/>
  <c r="L28" i="7"/>
  <c r="N28" i="7" s="1"/>
  <c r="P28" i="7"/>
  <c r="T28" i="7"/>
  <c r="W28" i="7"/>
  <c r="Z28" i="7"/>
  <c r="AC28" i="7"/>
  <c r="AF28" i="7"/>
  <c r="AI28" i="7"/>
  <c r="AL28" i="7"/>
  <c r="AO28" i="7"/>
  <c r="AR28" i="7"/>
  <c r="AU28" i="7"/>
  <c r="AX28" i="7"/>
  <c r="AY28" i="7"/>
  <c r="AZ28" i="7"/>
  <c r="BD28" i="7"/>
  <c r="C29" i="7"/>
  <c r="E29" i="7" s="1"/>
  <c r="F29" i="7"/>
  <c r="I29" i="7"/>
  <c r="J29" i="7"/>
  <c r="P29" i="7" s="1"/>
  <c r="L29" i="7"/>
  <c r="N29" i="7" s="1"/>
  <c r="T29" i="7"/>
  <c r="W29" i="7"/>
  <c r="Z29" i="7"/>
  <c r="AC29" i="7"/>
  <c r="AF29" i="7"/>
  <c r="AI29" i="7"/>
  <c r="AL29" i="7"/>
  <c r="AO29" i="7"/>
  <c r="AR29" i="7"/>
  <c r="AU29" i="7"/>
  <c r="AX29" i="7"/>
  <c r="AY29" i="7"/>
  <c r="AZ29" i="7"/>
  <c r="BD29" i="7"/>
  <c r="E30" i="7"/>
  <c r="F30" i="7"/>
  <c r="H30" i="7" s="1"/>
  <c r="I30" i="7"/>
  <c r="J30" i="7"/>
  <c r="L30" i="7"/>
  <c r="N30" i="7" s="1"/>
  <c r="T30" i="7"/>
  <c r="W30" i="7"/>
  <c r="Z30" i="7"/>
  <c r="AC30" i="7"/>
  <c r="AF30" i="7"/>
  <c r="AI30" i="7"/>
  <c r="AL30" i="7"/>
  <c r="AO30" i="7"/>
  <c r="AR30" i="7"/>
  <c r="AU30" i="7"/>
  <c r="AX30" i="7"/>
  <c r="AY30" i="7"/>
  <c r="AZ30" i="7"/>
  <c r="BC30" i="7"/>
  <c r="BD30" i="7" s="1"/>
  <c r="E31" i="7"/>
  <c r="F31" i="7"/>
  <c r="H31" i="7" s="1"/>
  <c r="I31" i="7"/>
  <c r="J31" i="7"/>
  <c r="L31" i="7"/>
  <c r="N31" i="7" s="1"/>
  <c r="T31" i="7"/>
  <c r="W31" i="7"/>
  <c r="Z31" i="7"/>
  <c r="AC31" i="7"/>
  <c r="AF31" i="7"/>
  <c r="AI31" i="7"/>
  <c r="AL31" i="7"/>
  <c r="AO31" i="7"/>
  <c r="AR31" i="7"/>
  <c r="AU31" i="7"/>
  <c r="AX31" i="7"/>
  <c r="AY31" i="7"/>
  <c r="AZ31" i="7"/>
  <c r="BD31" i="7"/>
  <c r="E32" i="7"/>
  <c r="F32" i="7"/>
  <c r="H32" i="7" s="1"/>
  <c r="I32" i="7"/>
  <c r="K32" i="7" s="1"/>
  <c r="L32" i="7"/>
  <c r="N32" i="7" s="1"/>
  <c r="P32" i="7"/>
  <c r="T32" i="7"/>
  <c r="U32" i="7"/>
  <c r="W32" i="7" s="1"/>
  <c r="Z32" i="7"/>
  <c r="AC32" i="7"/>
  <c r="AF32" i="7"/>
  <c r="AI32" i="7"/>
  <c r="AL32" i="7"/>
  <c r="AO32" i="7"/>
  <c r="AR32" i="7"/>
  <c r="AU32" i="7"/>
  <c r="AX32" i="7"/>
  <c r="AZ32" i="7"/>
  <c r="BD32" i="7"/>
  <c r="E33" i="7"/>
  <c r="F33" i="7"/>
  <c r="H33" i="7" s="1"/>
  <c r="I33" i="7"/>
  <c r="K33" i="7" s="1"/>
  <c r="L33" i="7"/>
  <c r="N33" i="7" s="1"/>
  <c r="P33" i="7"/>
  <c r="T33" i="7"/>
  <c r="W33" i="7"/>
  <c r="Z33" i="7"/>
  <c r="AC33" i="7"/>
  <c r="AF33" i="7"/>
  <c r="AI33" i="7"/>
  <c r="AL33" i="7"/>
  <c r="AO33" i="7"/>
  <c r="AR33" i="7"/>
  <c r="AU33" i="7"/>
  <c r="AX33" i="7"/>
  <c r="AY33" i="7"/>
  <c r="AZ33" i="7"/>
  <c r="BD33" i="7"/>
  <c r="E34" i="7"/>
  <c r="F34" i="7"/>
  <c r="H34" i="7" s="1"/>
  <c r="I34" i="7"/>
  <c r="J34" i="7"/>
  <c r="L34" i="7"/>
  <c r="N34" i="7" s="1"/>
  <c r="T34" i="7"/>
  <c r="U34" i="7"/>
  <c r="W34" i="7" s="1"/>
  <c r="Z34" i="7"/>
  <c r="AC34" i="7"/>
  <c r="AF34" i="7"/>
  <c r="AI34" i="7"/>
  <c r="AL34" i="7"/>
  <c r="AO34" i="7"/>
  <c r="AR34" i="7"/>
  <c r="AU34" i="7"/>
  <c r="AX34" i="7"/>
  <c r="AZ34" i="7"/>
  <c r="BD34" i="7"/>
  <c r="E35" i="7"/>
  <c r="F35" i="7"/>
  <c r="I35" i="7"/>
  <c r="J35" i="7"/>
  <c r="P35" i="7" s="1"/>
  <c r="L35" i="7"/>
  <c r="N35" i="7" s="1"/>
  <c r="T35" i="7"/>
  <c r="W35" i="7"/>
  <c r="Z35" i="7"/>
  <c r="AC35" i="7"/>
  <c r="AF35" i="7"/>
  <c r="AI35" i="7"/>
  <c r="AL35" i="7"/>
  <c r="AO35" i="7"/>
  <c r="AR35" i="7"/>
  <c r="AU35" i="7"/>
  <c r="AX35" i="7"/>
  <c r="AY35" i="7"/>
  <c r="AZ35" i="7"/>
  <c r="BD35" i="7"/>
  <c r="E36" i="7"/>
  <c r="F36" i="7"/>
  <c r="I36" i="7"/>
  <c r="J36" i="7"/>
  <c r="P36" i="7" s="1"/>
  <c r="L36" i="7"/>
  <c r="N36" i="7" s="1"/>
  <c r="T36" i="7"/>
  <c r="W36" i="7"/>
  <c r="Z36" i="7"/>
  <c r="AC36" i="7"/>
  <c r="AF36" i="7"/>
  <c r="AI36" i="7"/>
  <c r="AL36" i="7"/>
  <c r="AO36" i="7"/>
  <c r="AR36" i="7"/>
  <c r="AU36" i="7"/>
  <c r="AX36" i="7"/>
  <c r="AY36" i="7"/>
  <c r="AZ36" i="7"/>
  <c r="BC36" i="7"/>
  <c r="BD36" i="7" s="1"/>
  <c r="E37" i="7"/>
  <c r="F37" i="7"/>
  <c r="H37" i="7" s="1"/>
  <c r="I37" i="7"/>
  <c r="J37" i="7"/>
  <c r="L37" i="7"/>
  <c r="N37" i="7" s="1"/>
  <c r="T37" i="7"/>
  <c r="W37" i="7"/>
  <c r="Z37" i="7"/>
  <c r="AC37" i="7"/>
  <c r="AF37" i="7"/>
  <c r="AI37" i="7"/>
  <c r="AL37" i="7"/>
  <c r="AO37" i="7"/>
  <c r="AR37" i="7"/>
  <c r="AU37" i="7"/>
  <c r="AX37" i="7"/>
  <c r="AY37" i="7"/>
  <c r="AZ37" i="7"/>
  <c r="BD37" i="7"/>
  <c r="E38" i="7"/>
  <c r="F38" i="7"/>
  <c r="H38" i="7" s="1"/>
  <c r="I38" i="7"/>
  <c r="J38" i="7"/>
  <c r="P38" i="7" s="1"/>
  <c r="L38" i="7"/>
  <c r="N38" i="7" s="1"/>
  <c r="T38" i="7"/>
  <c r="W38" i="7"/>
  <c r="Z38" i="7"/>
  <c r="AC38" i="7"/>
  <c r="AF38" i="7"/>
  <c r="AI38" i="7"/>
  <c r="AL38" i="7"/>
  <c r="AO38" i="7"/>
  <c r="AR38" i="7"/>
  <c r="AU38" i="7"/>
  <c r="AX38" i="7"/>
  <c r="AY38" i="7"/>
  <c r="AZ38" i="7"/>
  <c r="BD38" i="7"/>
  <c r="E39" i="7"/>
  <c r="F39" i="7"/>
  <c r="H39" i="7" s="1"/>
  <c r="I39" i="7"/>
  <c r="J39" i="7"/>
  <c r="L39" i="7"/>
  <c r="N39" i="7" s="1"/>
  <c r="T39" i="7"/>
  <c r="W39" i="7"/>
  <c r="Z39" i="7"/>
  <c r="AC39" i="7"/>
  <c r="AF39" i="7"/>
  <c r="AI39" i="7"/>
  <c r="AL39" i="7"/>
  <c r="AO39" i="7"/>
  <c r="AR39" i="7"/>
  <c r="AU39" i="7"/>
  <c r="AX39" i="7"/>
  <c r="AY39" i="7"/>
  <c r="AZ39" i="7"/>
  <c r="BD39" i="7"/>
  <c r="E40" i="7"/>
  <c r="F40" i="7"/>
  <c r="H40" i="7" s="1"/>
  <c r="I40" i="7"/>
  <c r="K40" i="7" s="1"/>
  <c r="L40" i="7"/>
  <c r="P40" i="7"/>
  <c r="T40" i="7"/>
  <c r="U40" i="7"/>
  <c r="W40" i="7" s="1"/>
  <c r="Z40" i="7"/>
  <c r="AC40" i="7"/>
  <c r="AF40" i="7"/>
  <c r="AI40" i="7"/>
  <c r="AL40" i="7"/>
  <c r="AO40" i="7"/>
  <c r="AR40" i="7"/>
  <c r="AU40" i="7"/>
  <c r="AX40" i="7"/>
  <c r="AZ40" i="7"/>
  <c r="BD40" i="7"/>
  <c r="E41" i="7"/>
  <c r="F41" i="7"/>
  <c r="H41" i="7" s="1"/>
  <c r="I41" i="7"/>
  <c r="K41" i="7" s="1"/>
  <c r="L41" i="7"/>
  <c r="N41" i="7" s="1"/>
  <c r="P41" i="7"/>
  <c r="T41" i="7"/>
  <c r="U41" i="7"/>
  <c r="W41" i="7" s="1"/>
  <c r="Z41" i="7"/>
  <c r="AC41" i="7"/>
  <c r="AF41" i="7"/>
  <c r="AI41" i="7"/>
  <c r="AL41" i="7"/>
  <c r="AO41" i="7"/>
  <c r="AR41" i="7"/>
  <c r="AU41" i="7"/>
  <c r="AX41" i="7"/>
  <c r="AZ41" i="7"/>
  <c r="BD41" i="7"/>
  <c r="E42" i="7"/>
  <c r="F42" i="7"/>
  <c r="H42" i="7" s="1"/>
  <c r="I42" i="7"/>
  <c r="K42" i="7" s="1"/>
  <c r="L42" i="7"/>
  <c r="N42" i="7" s="1"/>
  <c r="P42" i="7"/>
  <c r="T42" i="7"/>
  <c r="U42" i="7"/>
  <c r="W42" i="7" s="1"/>
  <c r="Z42" i="7"/>
  <c r="AC42" i="7"/>
  <c r="AF42" i="7"/>
  <c r="AI42" i="7"/>
  <c r="AL42" i="7"/>
  <c r="AO42" i="7"/>
  <c r="AR42" i="7"/>
  <c r="AU42" i="7"/>
  <c r="AX42" i="7"/>
  <c r="AZ42" i="7"/>
  <c r="BD42" i="7"/>
  <c r="E43" i="7"/>
  <c r="F43" i="7"/>
  <c r="I43" i="7"/>
  <c r="J43" i="7"/>
  <c r="L43" i="7"/>
  <c r="N43" i="7" s="1"/>
  <c r="T43" i="7"/>
  <c r="W43" i="7"/>
  <c r="Z43" i="7"/>
  <c r="AC43" i="7"/>
  <c r="AF43" i="7"/>
  <c r="AI43" i="7"/>
  <c r="AL43" i="7"/>
  <c r="AO43" i="7"/>
  <c r="AR43" i="7"/>
  <c r="AU43" i="7"/>
  <c r="AX43" i="7"/>
  <c r="AY43" i="7"/>
  <c r="AZ43" i="7"/>
  <c r="BD43" i="7"/>
  <c r="E44" i="7"/>
  <c r="F44" i="7"/>
  <c r="H44" i="7" s="1"/>
  <c r="I44" i="7"/>
  <c r="J44" i="7"/>
  <c r="L44" i="7"/>
  <c r="N44" i="7" s="1"/>
  <c r="T44" i="7"/>
  <c r="W44" i="7"/>
  <c r="Z44" i="7"/>
  <c r="AC44" i="7"/>
  <c r="AF44" i="7"/>
  <c r="AI44" i="7"/>
  <c r="AL44" i="7"/>
  <c r="AO44" i="7"/>
  <c r="AR44" i="7"/>
  <c r="AU44" i="7"/>
  <c r="AX44" i="7"/>
  <c r="AY44" i="7"/>
  <c r="AZ44" i="7"/>
  <c r="BD44" i="7"/>
  <c r="E45" i="7"/>
  <c r="F45" i="7"/>
  <c r="I45" i="7"/>
  <c r="J45" i="7"/>
  <c r="L45" i="7"/>
  <c r="N45" i="7" s="1"/>
  <c r="T45" i="7"/>
  <c r="U45" i="7"/>
  <c r="W45" i="7" s="1"/>
  <c r="Z45" i="7"/>
  <c r="AC45" i="7"/>
  <c r="AF45" i="7"/>
  <c r="AI45" i="7"/>
  <c r="AL45" i="7"/>
  <c r="AO45" i="7"/>
  <c r="AR45" i="7"/>
  <c r="AU45" i="7"/>
  <c r="AX45" i="7"/>
  <c r="AZ45" i="7"/>
  <c r="BD45" i="7"/>
  <c r="E46" i="7"/>
  <c r="F46" i="7"/>
  <c r="H46" i="7" s="1"/>
  <c r="I46" i="7"/>
  <c r="J46" i="7"/>
  <c r="P46" i="7" s="1"/>
  <c r="L46" i="7"/>
  <c r="N46" i="7" s="1"/>
  <c r="T46" i="7"/>
  <c r="U46" i="7"/>
  <c r="W46" i="7" s="1"/>
  <c r="Z46" i="7"/>
  <c r="AC46" i="7"/>
  <c r="AF46" i="7"/>
  <c r="AI46" i="7"/>
  <c r="AL46" i="7"/>
  <c r="AO46" i="7"/>
  <c r="AR46" i="7"/>
  <c r="AU46" i="7"/>
  <c r="AX46" i="7"/>
  <c r="AZ46" i="7"/>
  <c r="BD46" i="7"/>
  <c r="E47" i="7"/>
  <c r="F47" i="7"/>
  <c r="I47" i="7"/>
  <c r="J47" i="7"/>
  <c r="L47" i="7"/>
  <c r="N47" i="7" s="1"/>
  <c r="T47" i="7"/>
  <c r="W47" i="7"/>
  <c r="Z47" i="7"/>
  <c r="AC47" i="7"/>
  <c r="AF47" i="7"/>
  <c r="AI47" i="7"/>
  <c r="AL47" i="7"/>
  <c r="AO47" i="7"/>
  <c r="AR47" i="7"/>
  <c r="AU47" i="7"/>
  <c r="AX47" i="7"/>
  <c r="AY47" i="7"/>
  <c r="AZ47" i="7"/>
  <c r="BD47" i="7"/>
  <c r="E48" i="7"/>
  <c r="F48" i="7"/>
  <c r="H48" i="7" s="1"/>
  <c r="I48" i="7"/>
  <c r="K48" i="7" s="1"/>
  <c r="L48" i="7"/>
  <c r="N48" i="7" s="1"/>
  <c r="P48" i="7"/>
  <c r="T48" i="7"/>
  <c r="U48" i="7"/>
  <c r="W48" i="7" s="1"/>
  <c r="Z48" i="7"/>
  <c r="AC48" i="7"/>
  <c r="AF48" i="7"/>
  <c r="AI48" i="7"/>
  <c r="AL48" i="7"/>
  <c r="AO48" i="7"/>
  <c r="AR48" i="7"/>
  <c r="AU48" i="7"/>
  <c r="AX48" i="7"/>
  <c r="AZ48" i="7"/>
  <c r="BD48" i="7"/>
  <c r="E49" i="7"/>
  <c r="F49" i="7"/>
  <c r="I49" i="7"/>
  <c r="J49" i="7"/>
  <c r="L49" i="7"/>
  <c r="N49" i="7" s="1"/>
  <c r="T49" i="7"/>
  <c r="W49" i="7"/>
  <c r="Z49" i="7"/>
  <c r="AC49" i="7"/>
  <c r="AF49" i="7"/>
  <c r="AI49" i="7"/>
  <c r="AL49" i="7"/>
  <c r="AO49" i="7"/>
  <c r="AR49" i="7"/>
  <c r="AU49" i="7"/>
  <c r="AX49" i="7"/>
  <c r="AY49" i="7"/>
  <c r="AZ49" i="7"/>
  <c r="BD49" i="7"/>
  <c r="C50" i="7"/>
  <c r="E50" i="7" s="1"/>
  <c r="F50" i="7"/>
  <c r="H50" i="7" s="1"/>
  <c r="I50" i="7"/>
  <c r="J50" i="7"/>
  <c r="P50" i="7" s="1"/>
  <c r="L50" i="7"/>
  <c r="N50" i="7" s="1"/>
  <c r="T50" i="7"/>
  <c r="W50" i="7"/>
  <c r="Z50" i="7"/>
  <c r="AC50" i="7"/>
  <c r="AF50" i="7"/>
  <c r="AI50" i="7"/>
  <c r="AL50" i="7"/>
  <c r="AO50" i="7"/>
  <c r="AR50" i="7"/>
  <c r="AU50" i="7"/>
  <c r="AX50" i="7"/>
  <c r="AY50" i="7"/>
  <c r="AZ50" i="7"/>
  <c r="BD50" i="7"/>
  <c r="E51" i="7"/>
  <c r="F51" i="7"/>
  <c r="H51" i="7" s="1"/>
  <c r="I51" i="7"/>
  <c r="J51" i="7"/>
  <c r="P51" i="7" s="1"/>
  <c r="L51" i="7"/>
  <c r="N51" i="7" s="1"/>
  <c r="T51" i="7"/>
  <c r="W51" i="7"/>
  <c r="Z51" i="7"/>
  <c r="AC51" i="7"/>
  <c r="AF51" i="7"/>
  <c r="AI51" i="7"/>
  <c r="AL51" i="7"/>
  <c r="AO51" i="7"/>
  <c r="AR51" i="7"/>
  <c r="AU51" i="7"/>
  <c r="AX51" i="7"/>
  <c r="AY51" i="7"/>
  <c r="AZ51" i="7"/>
  <c r="BD51" i="7"/>
  <c r="E52" i="7"/>
  <c r="F52" i="7"/>
  <c r="H52" i="7" s="1"/>
  <c r="I52" i="7"/>
  <c r="J52" i="7"/>
  <c r="P52" i="7" s="1"/>
  <c r="L52" i="7"/>
  <c r="N52" i="7" s="1"/>
  <c r="T52" i="7"/>
  <c r="W52" i="7"/>
  <c r="Z52" i="7"/>
  <c r="AC52" i="7"/>
  <c r="AF52" i="7"/>
  <c r="AI52" i="7"/>
  <c r="AL52" i="7"/>
  <c r="AO52" i="7"/>
  <c r="AR52" i="7"/>
  <c r="AU52" i="7"/>
  <c r="AX52" i="7"/>
  <c r="AY52" i="7"/>
  <c r="AZ52" i="7"/>
  <c r="BD52" i="7"/>
  <c r="E53" i="7"/>
  <c r="F53" i="7"/>
  <c r="H53" i="7" s="1"/>
  <c r="K53" i="7"/>
  <c r="L53" i="7"/>
  <c r="N53" i="7" s="1"/>
  <c r="P53" i="7"/>
  <c r="T53" i="7"/>
  <c r="U53" i="7"/>
  <c r="W53" i="7" s="1"/>
  <c r="Z53" i="7"/>
  <c r="AC53" i="7"/>
  <c r="AF53" i="7"/>
  <c r="AI53" i="7"/>
  <c r="AL53" i="7"/>
  <c r="AO53" i="7"/>
  <c r="AR53" i="7"/>
  <c r="AU53" i="7"/>
  <c r="AX53" i="7"/>
  <c r="AZ53" i="7"/>
  <c r="BD53" i="7"/>
  <c r="E54" i="7"/>
  <c r="F54" i="7"/>
  <c r="H54" i="7" s="1"/>
  <c r="I54" i="7"/>
  <c r="J54" i="7"/>
  <c r="L54" i="7"/>
  <c r="N54" i="7" s="1"/>
  <c r="T54" i="7"/>
  <c r="W54" i="7"/>
  <c r="Z54" i="7"/>
  <c r="AC54" i="7"/>
  <c r="AF54" i="7"/>
  <c r="AI54" i="7"/>
  <c r="AL54" i="7"/>
  <c r="AO54" i="7"/>
  <c r="AR54" i="7"/>
  <c r="AU54" i="7"/>
  <c r="AX54" i="7"/>
  <c r="AY54" i="7"/>
  <c r="AZ54" i="7"/>
  <c r="BD54" i="7"/>
  <c r="E55" i="7"/>
  <c r="F55" i="7"/>
  <c r="H55" i="7" s="1"/>
  <c r="I55" i="7"/>
  <c r="K55" i="7" s="1"/>
  <c r="L55" i="7"/>
  <c r="N55" i="7" s="1"/>
  <c r="P55" i="7"/>
  <c r="T55" i="7"/>
  <c r="W55" i="7"/>
  <c r="Z55" i="7"/>
  <c r="AC55" i="7"/>
  <c r="AF55" i="7"/>
  <c r="AI55" i="7"/>
  <c r="AL55" i="7"/>
  <c r="AO55" i="7"/>
  <c r="AR55" i="7"/>
  <c r="AU55" i="7"/>
  <c r="AX55" i="7"/>
  <c r="AY55" i="7"/>
  <c r="AZ55" i="7"/>
  <c r="BD55" i="7"/>
  <c r="E56" i="7"/>
  <c r="F56" i="7"/>
  <c r="H56" i="7" s="1"/>
  <c r="I56" i="7"/>
  <c r="J56" i="7"/>
  <c r="P56" i="7" s="1"/>
  <c r="L56" i="7"/>
  <c r="N56" i="7" s="1"/>
  <c r="T56" i="7"/>
  <c r="U56" i="7"/>
  <c r="AY56" i="7" s="1"/>
  <c r="Z56" i="7"/>
  <c r="AC56" i="7"/>
  <c r="AF56" i="7"/>
  <c r="AI56" i="7"/>
  <c r="AL56" i="7"/>
  <c r="AO56" i="7"/>
  <c r="AR56" i="7"/>
  <c r="AU56" i="7"/>
  <c r="AX56" i="7"/>
  <c r="AZ56" i="7"/>
  <c r="BD56" i="7"/>
  <c r="E57" i="7"/>
  <c r="F57" i="7"/>
  <c r="H57" i="7" s="1"/>
  <c r="I57" i="7"/>
  <c r="L57" i="7"/>
  <c r="N57" i="7" s="1"/>
  <c r="P57" i="7"/>
  <c r="T57" i="7"/>
  <c r="W57" i="7"/>
  <c r="Z57" i="7"/>
  <c r="AC57" i="7"/>
  <c r="AF57" i="7"/>
  <c r="AI57" i="7"/>
  <c r="AL57" i="7"/>
  <c r="AO57" i="7"/>
  <c r="AR57" i="7"/>
  <c r="AU57" i="7"/>
  <c r="AX57" i="7"/>
  <c r="AY57" i="7"/>
  <c r="AZ57" i="7"/>
  <c r="BD57" i="7"/>
  <c r="E58" i="7"/>
  <c r="F58" i="7"/>
  <c r="H58" i="7" s="1"/>
  <c r="I58" i="7"/>
  <c r="K58" i="7" s="1"/>
  <c r="L58" i="7"/>
  <c r="N58" i="7" s="1"/>
  <c r="P58" i="7"/>
  <c r="T58" i="7"/>
  <c r="W58" i="7"/>
  <c r="Z58" i="7"/>
  <c r="AC58" i="7"/>
  <c r="AF58" i="7"/>
  <c r="AI58" i="7"/>
  <c r="AL58" i="7"/>
  <c r="AM58" i="7"/>
  <c r="AO58" i="7" s="1"/>
  <c r="AR58" i="7"/>
  <c r="AU58" i="7"/>
  <c r="AX58" i="7"/>
  <c r="AZ58" i="7"/>
  <c r="BD58" i="7"/>
  <c r="E59" i="7"/>
  <c r="F59" i="7"/>
  <c r="H59" i="7" s="1"/>
  <c r="I59" i="7"/>
  <c r="J59" i="7"/>
  <c r="P59" i="7" s="1"/>
  <c r="L59" i="7"/>
  <c r="N59" i="7" s="1"/>
  <c r="T59" i="7"/>
  <c r="W59" i="7"/>
  <c r="Z59" i="7"/>
  <c r="AC59" i="7"/>
  <c r="AF59" i="7"/>
  <c r="AI59" i="7"/>
  <c r="AL59" i="7"/>
  <c r="AM59" i="7"/>
  <c r="AY59" i="7" s="1"/>
  <c r="AR59" i="7"/>
  <c r="AU59" i="7"/>
  <c r="AX59" i="7"/>
  <c r="AZ59" i="7"/>
  <c r="BD59" i="7"/>
  <c r="C60" i="7"/>
  <c r="E60" i="7" s="1"/>
  <c r="F60" i="7"/>
  <c r="H60" i="7" s="1"/>
  <c r="I60" i="7"/>
  <c r="K60" i="7" s="1"/>
  <c r="L60" i="7"/>
  <c r="N60" i="7" s="1"/>
  <c r="P60" i="7"/>
  <c r="T60" i="7"/>
  <c r="W60" i="7"/>
  <c r="Z60" i="7"/>
  <c r="AC60" i="7"/>
  <c r="AF60" i="7"/>
  <c r="AI60" i="7"/>
  <c r="AL60" i="7"/>
  <c r="AO60" i="7"/>
  <c r="AR60" i="7"/>
  <c r="AU60" i="7"/>
  <c r="AX60" i="7"/>
  <c r="AY60" i="7"/>
  <c r="AZ60" i="7"/>
  <c r="BD60" i="7"/>
  <c r="E61" i="7"/>
  <c r="F61" i="7"/>
  <c r="H61" i="7" s="1"/>
  <c r="I61" i="7"/>
  <c r="K61" i="7" s="1"/>
  <c r="L61" i="7"/>
  <c r="N61" i="7" s="1"/>
  <c r="P61" i="7"/>
  <c r="T61" i="7"/>
  <c r="U61" i="7"/>
  <c r="Z61" i="7"/>
  <c r="AC61" i="7"/>
  <c r="AF61" i="7"/>
  <c r="AI61" i="7"/>
  <c r="AL61" i="7"/>
  <c r="AO61" i="7"/>
  <c r="AR61" i="7"/>
  <c r="AU61" i="7"/>
  <c r="AX61" i="7"/>
  <c r="AZ61" i="7"/>
  <c r="BD61" i="7"/>
  <c r="C62" i="7"/>
  <c r="E62" i="7" s="1"/>
  <c r="F62" i="7"/>
  <c r="I62" i="7"/>
  <c r="K62" i="7" s="1"/>
  <c r="L62" i="7"/>
  <c r="N62" i="7" s="1"/>
  <c r="P62" i="7"/>
  <c r="T62" i="7"/>
  <c r="W62" i="7"/>
  <c r="Z62" i="7"/>
  <c r="AC62" i="7"/>
  <c r="AF62" i="7"/>
  <c r="AI62" i="7"/>
  <c r="AL62" i="7"/>
  <c r="AO62" i="7"/>
  <c r="AR62" i="7"/>
  <c r="AU62" i="7"/>
  <c r="AX62" i="7"/>
  <c r="AY62" i="7"/>
  <c r="AZ62" i="7"/>
  <c r="BD62" i="7"/>
  <c r="E63" i="7"/>
  <c r="F63" i="7"/>
  <c r="I63" i="7"/>
  <c r="J63" i="7"/>
  <c r="L63" i="7"/>
  <c r="N63" i="7" s="1"/>
  <c r="T63" i="7"/>
  <c r="W63" i="7"/>
  <c r="Z63" i="7"/>
  <c r="AC63" i="7"/>
  <c r="AF63" i="7"/>
  <c r="AI63" i="7"/>
  <c r="AL63" i="7"/>
  <c r="AO63" i="7"/>
  <c r="AR63" i="7"/>
  <c r="AU63" i="7"/>
  <c r="AX63" i="7"/>
  <c r="AY63" i="7"/>
  <c r="AZ63" i="7"/>
  <c r="BD63" i="7"/>
  <c r="E64" i="7"/>
  <c r="F64" i="7"/>
  <c r="I64" i="7"/>
  <c r="J64" i="7"/>
  <c r="L64" i="7"/>
  <c r="N64" i="7" s="1"/>
  <c r="T64" i="7"/>
  <c r="W64" i="7"/>
  <c r="Z64" i="7"/>
  <c r="AC64" i="7"/>
  <c r="AF64" i="7"/>
  <c r="AI64" i="7"/>
  <c r="AL64" i="7"/>
  <c r="AO64" i="7"/>
  <c r="AR64" i="7"/>
  <c r="AU64" i="7"/>
  <c r="AX64" i="7"/>
  <c r="AY64" i="7"/>
  <c r="AZ64" i="7"/>
  <c r="BD64" i="7"/>
  <c r="E65" i="7"/>
  <c r="F65" i="7"/>
  <c r="H65" i="7" s="1"/>
  <c r="I65" i="7"/>
  <c r="J65" i="7"/>
  <c r="L65" i="7"/>
  <c r="N65" i="7" s="1"/>
  <c r="T65" i="7"/>
  <c r="U65" i="7"/>
  <c r="W65" i="7" s="1"/>
  <c r="Z65" i="7"/>
  <c r="AC65" i="7"/>
  <c r="AF65" i="7"/>
  <c r="AI65" i="7"/>
  <c r="AL65" i="7"/>
  <c r="AO65" i="7"/>
  <c r="AR65" i="7"/>
  <c r="AU65" i="7"/>
  <c r="AX65" i="7"/>
  <c r="AZ65" i="7"/>
  <c r="BD65" i="7"/>
  <c r="C66" i="7"/>
  <c r="E66" i="7" s="1"/>
  <c r="F66" i="7"/>
  <c r="H66" i="7" s="1"/>
  <c r="I66" i="7"/>
  <c r="J66" i="7"/>
  <c r="L66" i="7"/>
  <c r="N66" i="7" s="1"/>
  <c r="T66" i="7"/>
  <c r="U66" i="7"/>
  <c r="W66" i="7" s="1"/>
  <c r="Z66" i="7"/>
  <c r="AC66" i="7"/>
  <c r="AF66" i="7"/>
  <c r="AI66" i="7"/>
  <c r="AL66" i="7"/>
  <c r="AO66" i="7"/>
  <c r="AR66" i="7"/>
  <c r="AU66" i="7"/>
  <c r="AX66" i="7"/>
  <c r="AZ66" i="7"/>
  <c r="BD66" i="7"/>
  <c r="E67" i="7"/>
  <c r="F67" i="7"/>
  <c r="H67" i="7" s="1"/>
  <c r="I67" i="7"/>
  <c r="J67" i="7"/>
  <c r="P67" i="7" s="1"/>
  <c r="L67" i="7"/>
  <c r="N67" i="7" s="1"/>
  <c r="T67" i="7"/>
  <c r="U67" i="7"/>
  <c r="W67" i="7" s="1"/>
  <c r="Z67" i="7"/>
  <c r="AC67" i="7"/>
  <c r="AF67" i="7"/>
  <c r="AI67" i="7"/>
  <c r="AL67" i="7"/>
  <c r="AM67" i="7"/>
  <c r="AO67" i="7" s="1"/>
  <c r="AR67" i="7"/>
  <c r="AU67" i="7"/>
  <c r="AX67" i="7"/>
  <c r="AZ67" i="7"/>
  <c r="BD67" i="7"/>
  <c r="C68" i="7"/>
  <c r="E68" i="7" s="1"/>
  <c r="F68" i="7"/>
  <c r="H68" i="7" s="1"/>
  <c r="I68" i="7"/>
  <c r="J68" i="7"/>
  <c r="L68" i="7"/>
  <c r="N68" i="7" s="1"/>
  <c r="T68" i="7"/>
  <c r="W68" i="7"/>
  <c r="Z68" i="7"/>
  <c r="AC68" i="7"/>
  <c r="AF68" i="7"/>
  <c r="AI68" i="7"/>
  <c r="AL68" i="7"/>
  <c r="AO68" i="7"/>
  <c r="AR68" i="7"/>
  <c r="AU68" i="7"/>
  <c r="AX68" i="7"/>
  <c r="AY68" i="7"/>
  <c r="AZ68" i="7"/>
  <c r="BD68" i="7"/>
  <c r="E69" i="7"/>
  <c r="F69" i="7"/>
  <c r="I69" i="7"/>
  <c r="K69" i="7" s="1"/>
  <c r="L69" i="7"/>
  <c r="N69" i="7" s="1"/>
  <c r="P69" i="7"/>
  <c r="T69" i="7"/>
  <c r="U69" i="7"/>
  <c r="W69" i="7" s="1"/>
  <c r="Z69" i="7"/>
  <c r="AC69" i="7"/>
  <c r="AF69" i="7"/>
  <c r="AI69" i="7"/>
  <c r="AL69" i="7"/>
  <c r="AO69" i="7"/>
  <c r="AR69" i="7"/>
  <c r="AU69" i="7"/>
  <c r="AX69" i="7"/>
  <c r="AZ69" i="7"/>
  <c r="BD69" i="7"/>
  <c r="E70" i="7"/>
  <c r="F70" i="7"/>
  <c r="H70" i="7" s="1"/>
  <c r="I70" i="7"/>
  <c r="K70" i="7" s="1"/>
  <c r="L70" i="7"/>
  <c r="P70" i="7"/>
  <c r="T70" i="7"/>
  <c r="W70" i="7"/>
  <c r="Z70" i="7"/>
  <c r="AC70" i="7"/>
  <c r="AF70" i="7"/>
  <c r="AI70" i="7"/>
  <c r="AL70" i="7"/>
  <c r="AO70" i="7"/>
  <c r="AR70" i="7"/>
  <c r="AU70" i="7"/>
  <c r="AX70" i="7"/>
  <c r="AY70" i="7"/>
  <c r="AZ70" i="7"/>
  <c r="BD70" i="7"/>
  <c r="C71" i="7"/>
  <c r="E71" i="7" s="1"/>
  <c r="F71" i="7"/>
  <c r="I71" i="7"/>
  <c r="J71" i="7"/>
  <c r="L71" i="7"/>
  <c r="N71" i="7" s="1"/>
  <c r="T71" i="7"/>
  <c r="U71" i="7"/>
  <c r="W71" i="7" s="1"/>
  <c r="Z71" i="7"/>
  <c r="AC71" i="7"/>
  <c r="AF71" i="7"/>
  <c r="AI71" i="7"/>
  <c r="AL71" i="7"/>
  <c r="AO71" i="7"/>
  <c r="AR71" i="7"/>
  <c r="AU71" i="7"/>
  <c r="AX71" i="7"/>
  <c r="AZ71" i="7"/>
  <c r="BD71" i="7"/>
  <c r="E72" i="7"/>
  <c r="F72" i="7"/>
  <c r="H72" i="7" s="1"/>
  <c r="I72" i="7"/>
  <c r="J72" i="7"/>
  <c r="P72" i="7" s="1"/>
  <c r="L72" i="7"/>
  <c r="N72" i="7" s="1"/>
  <c r="T72" i="7"/>
  <c r="W72" i="7"/>
  <c r="Z72" i="7"/>
  <c r="AC72" i="7"/>
  <c r="AF72" i="7"/>
  <c r="AI72" i="7"/>
  <c r="AL72" i="7"/>
  <c r="AO72" i="7"/>
  <c r="AR72" i="7"/>
  <c r="AU72" i="7"/>
  <c r="AX72" i="7"/>
  <c r="AY72" i="7"/>
  <c r="AZ72" i="7"/>
  <c r="BD72" i="7"/>
  <c r="E73" i="7"/>
  <c r="F73" i="7"/>
  <c r="H73" i="7" s="1"/>
  <c r="I73" i="7"/>
  <c r="J73" i="7"/>
  <c r="P73" i="7" s="1"/>
  <c r="L73" i="7"/>
  <c r="N73" i="7" s="1"/>
  <c r="T73" i="7"/>
  <c r="W73" i="7"/>
  <c r="Z73" i="7"/>
  <c r="AC73" i="7"/>
  <c r="AF73" i="7"/>
  <c r="AI73" i="7"/>
  <c r="AL73" i="7"/>
  <c r="AO73" i="7"/>
  <c r="AR73" i="7"/>
  <c r="AU73" i="7"/>
  <c r="AX73" i="7"/>
  <c r="AY73" i="7"/>
  <c r="AZ73" i="7"/>
  <c r="BD73" i="7"/>
  <c r="E74" i="7"/>
  <c r="F74" i="7"/>
  <c r="H74" i="7" s="1"/>
  <c r="I74" i="7"/>
  <c r="J74" i="7"/>
  <c r="P74" i="7" s="1"/>
  <c r="L74" i="7"/>
  <c r="N74" i="7" s="1"/>
  <c r="T74" i="7"/>
  <c r="W74" i="7"/>
  <c r="Z74" i="7"/>
  <c r="AC74" i="7"/>
  <c r="AF74" i="7"/>
  <c r="AI74" i="7"/>
  <c r="AL74" i="7"/>
  <c r="AO74" i="7"/>
  <c r="AR74" i="7"/>
  <c r="AU74" i="7"/>
  <c r="AX74" i="7"/>
  <c r="AY74" i="7"/>
  <c r="AZ74" i="7"/>
  <c r="BD74" i="7"/>
  <c r="E75" i="7"/>
  <c r="F75" i="7"/>
  <c r="H75" i="7" s="1"/>
  <c r="I75" i="7"/>
  <c r="J75" i="7"/>
  <c r="P75" i="7" s="1"/>
  <c r="L75" i="7"/>
  <c r="N75" i="7" s="1"/>
  <c r="T75" i="7"/>
  <c r="W75" i="7"/>
  <c r="Z75" i="7"/>
  <c r="AC75" i="7"/>
  <c r="AF75" i="7"/>
  <c r="AI75" i="7"/>
  <c r="AL75" i="7"/>
  <c r="AO75" i="7"/>
  <c r="AR75" i="7"/>
  <c r="AU75" i="7"/>
  <c r="AX75" i="7"/>
  <c r="AY75" i="7"/>
  <c r="AZ75" i="7"/>
  <c r="BD75" i="7"/>
  <c r="E76" i="7"/>
  <c r="F76" i="7"/>
  <c r="H76" i="7" s="1"/>
  <c r="I76" i="7"/>
  <c r="K76" i="7" s="1"/>
  <c r="L76" i="7"/>
  <c r="N76" i="7" s="1"/>
  <c r="P76" i="7"/>
  <c r="T76" i="7"/>
  <c r="W76" i="7"/>
  <c r="Z76" i="7"/>
  <c r="AC76" i="7"/>
  <c r="AF76" i="7"/>
  <c r="AI76" i="7"/>
  <c r="AL76" i="7"/>
  <c r="AO76" i="7"/>
  <c r="AR76" i="7"/>
  <c r="AU76" i="7"/>
  <c r="AX76" i="7"/>
  <c r="AY76" i="7"/>
  <c r="AZ76" i="7"/>
  <c r="BD76" i="7"/>
  <c r="E77" i="7"/>
  <c r="F77" i="7"/>
  <c r="I77" i="7"/>
  <c r="J77" i="7"/>
  <c r="L77" i="7"/>
  <c r="N77" i="7" s="1"/>
  <c r="T77" i="7"/>
  <c r="W77" i="7"/>
  <c r="Z77" i="7"/>
  <c r="AC77" i="7"/>
  <c r="AF77" i="7"/>
  <c r="AI77" i="7"/>
  <c r="AL77" i="7"/>
  <c r="AM77" i="7"/>
  <c r="AO77" i="7" s="1"/>
  <c r="AR77" i="7"/>
  <c r="AU77" i="7"/>
  <c r="AX77" i="7"/>
  <c r="AZ77" i="7"/>
  <c r="BD77" i="7"/>
  <c r="E78" i="7"/>
  <c r="F78" i="7"/>
  <c r="H78" i="7" s="1"/>
  <c r="I78" i="7"/>
  <c r="L78" i="7"/>
  <c r="N78" i="7" s="1"/>
  <c r="P78" i="7"/>
  <c r="T78" i="7"/>
  <c r="U78" i="7"/>
  <c r="W78" i="7" s="1"/>
  <c r="Z78" i="7"/>
  <c r="AC78" i="7"/>
  <c r="AF78" i="7"/>
  <c r="AI78" i="7"/>
  <c r="AL78" i="7"/>
  <c r="AO78" i="7"/>
  <c r="AR78" i="7"/>
  <c r="AU78" i="7"/>
  <c r="AX78" i="7"/>
  <c r="AZ78" i="7"/>
  <c r="BD78" i="7"/>
  <c r="E79" i="7"/>
  <c r="F79" i="7"/>
  <c r="H79" i="7" s="1"/>
  <c r="I79" i="7"/>
  <c r="K79" i="7" s="1"/>
  <c r="L79" i="7"/>
  <c r="N79" i="7" s="1"/>
  <c r="P79" i="7"/>
  <c r="T79" i="7"/>
  <c r="U79" i="7"/>
  <c r="W79" i="7" s="1"/>
  <c r="Z79" i="7"/>
  <c r="AC79" i="7"/>
  <c r="AF79" i="7"/>
  <c r="AI79" i="7"/>
  <c r="AL79" i="7"/>
  <c r="AM79" i="7"/>
  <c r="AR79" i="7"/>
  <c r="AU79" i="7"/>
  <c r="AX79" i="7"/>
  <c r="AZ79" i="7"/>
  <c r="BD79" i="7"/>
  <c r="E80" i="7"/>
  <c r="F80" i="7"/>
  <c r="H80" i="7" s="1"/>
  <c r="I80" i="7"/>
  <c r="K80" i="7" s="1"/>
  <c r="L80" i="7"/>
  <c r="N80" i="7" s="1"/>
  <c r="P80" i="7"/>
  <c r="T80" i="7"/>
  <c r="U80" i="7"/>
  <c r="W80" i="7" s="1"/>
  <c r="Z80" i="7"/>
  <c r="AC80" i="7"/>
  <c r="AF80" i="7"/>
  <c r="AI80" i="7"/>
  <c r="AL80" i="7"/>
  <c r="AO80" i="7"/>
  <c r="AR80" i="7"/>
  <c r="AU80" i="7"/>
  <c r="AX80" i="7"/>
  <c r="AZ80" i="7"/>
  <c r="BD80" i="7"/>
  <c r="C81" i="7"/>
  <c r="E81" i="7" s="1"/>
  <c r="F81" i="7"/>
  <c r="H81" i="7" s="1"/>
  <c r="I81" i="7"/>
  <c r="J81" i="7"/>
  <c r="L81" i="7"/>
  <c r="N81" i="7" s="1"/>
  <c r="R81" i="7"/>
  <c r="W81" i="7"/>
  <c r="Z81" i="7"/>
  <c r="AC81" i="7"/>
  <c r="AF81" i="7"/>
  <c r="AI81" i="7"/>
  <c r="AL81" i="7"/>
  <c r="AM81" i="7"/>
  <c r="AO81" i="7" s="1"/>
  <c r="AR81" i="7"/>
  <c r="AU81" i="7"/>
  <c r="AX81" i="7"/>
  <c r="AZ81" i="7"/>
  <c r="BC81" i="7"/>
  <c r="BD81" i="7" s="1"/>
  <c r="E82" i="7"/>
  <c r="F82" i="7"/>
  <c r="H82" i="7" s="1"/>
  <c r="I82" i="7"/>
  <c r="J82" i="7"/>
  <c r="L82" i="7"/>
  <c r="N82" i="7" s="1"/>
  <c r="R82" i="7"/>
  <c r="T82" i="7" s="1"/>
  <c r="W82" i="7"/>
  <c r="Z82" i="7"/>
  <c r="AC82" i="7"/>
  <c r="AF82" i="7"/>
  <c r="AI82" i="7"/>
  <c r="AL82" i="7"/>
  <c r="AO82" i="7"/>
  <c r="AR82" i="7"/>
  <c r="AU82" i="7"/>
  <c r="AX82" i="7"/>
  <c r="AY82" i="7"/>
  <c r="AZ82" i="7"/>
  <c r="BD82" i="7"/>
  <c r="E83" i="7"/>
  <c r="F83" i="7"/>
  <c r="H83" i="7" s="1"/>
  <c r="I83" i="7"/>
  <c r="J83" i="7"/>
  <c r="P83" i="7" s="1"/>
  <c r="L83" i="7"/>
  <c r="N83" i="7" s="1"/>
  <c r="R83" i="7"/>
  <c r="T83" i="7" s="1"/>
  <c r="W83" i="7"/>
  <c r="Z83" i="7"/>
  <c r="AC83" i="7"/>
  <c r="AF83" i="7"/>
  <c r="AI83" i="7"/>
  <c r="AL83" i="7"/>
  <c r="AO83" i="7"/>
  <c r="AR83" i="7"/>
  <c r="AU83" i="7"/>
  <c r="AX83" i="7"/>
  <c r="AY83" i="7"/>
  <c r="AZ83" i="7"/>
  <c r="BD83" i="7"/>
  <c r="E84" i="7"/>
  <c r="F84" i="7"/>
  <c r="H84" i="7" s="1"/>
  <c r="I84" i="7"/>
  <c r="J84" i="7"/>
  <c r="L84" i="7"/>
  <c r="N84" i="7" s="1"/>
  <c r="R84" i="7"/>
  <c r="T84" i="7" s="1"/>
  <c r="W84" i="7"/>
  <c r="Z84" i="7"/>
  <c r="AC84" i="7"/>
  <c r="AF84" i="7"/>
  <c r="AI84" i="7"/>
  <c r="AL84" i="7"/>
  <c r="AO84" i="7"/>
  <c r="AR84" i="7"/>
  <c r="AU84" i="7"/>
  <c r="AX84" i="7"/>
  <c r="AY84" i="7"/>
  <c r="AZ84" i="7"/>
  <c r="BD84" i="7"/>
  <c r="BJ84" i="7"/>
  <c r="BJ83" i="7"/>
  <c r="BJ82" i="7"/>
  <c r="BJ81" i="7"/>
  <c r="BJ80" i="7"/>
  <c r="BJ79" i="7"/>
  <c r="BJ78" i="7"/>
  <c r="BJ77" i="7"/>
  <c r="BJ76" i="7"/>
  <c r="BJ75" i="7"/>
  <c r="BJ74" i="7"/>
  <c r="BJ73" i="7"/>
  <c r="BJ72" i="7"/>
  <c r="BJ71" i="7"/>
  <c r="BJ70" i="7"/>
  <c r="BJ69" i="7"/>
  <c r="BJ68" i="7"/>
  <c r="BJ67" i="7"/>
  <c r="BJ66" i="7"/>
  <c r="BJ65" i="7"/>
  <c r="BJ64" i="7"/>
  <c r="BJ63" i="7"/>
  <c r="BJ62" i="7"/>
  <c r="BJ61" i="7"/>
  <c r="BJ60" i="7"/>
  <c r="BJ59" i="7"/>
  <c r="BJ58" i="7"/>
  <c r="BJ57" i="7"/>
  <c r="BJ56" i="7"/>
  <c r="BJ55" i="7"/>
  <c r="BJ54" i="7"/>
  <c r="BJ53" i="7"/>
  <c r="BJ52" i="7"/>
  <c r="BJ51" i="7"/>
  <c r="BJ50" i="7"/>
  <c r="BJ49" i="7"/>
  <c r="BJ48" i="7"/>
  <c r="BJ47" i="7"/>
  <c r="BJ46" i="7"/>
  <c r="BJ45" i="7"/>
  <c r="BJ44" i="7"/>
  <c r="BJ43" i="7"/>
  <c r="BJ42" i="7"/>
  <c r="BJ41" i="7"/>
  <c r="BJ40" i="7"/>
  <c r="BJ39" i="7"/>
  <c r="BJ38" i="7"/>
  <c r="BJ37" i="7"/>
  <c r="BJ36" i="7"/>
  <c r="BJ35" i="7"/>
  <c r="BJ34" i="7"/>
  <c r="BJ33" i="7"/>
  <c r="BJ32" i="7"/>
  <c r="BJ31" i="7"/>
  <c r="BJ30" i="7"/>
  <c r="BJ29" i="7"/>
  <c r="BJ28" i="7"/>
  <c r="BJ27" i="7"/>
  <c r="BJ26" i="7"/>
  <c r="BJ25" i="7"/>
  <c r="BJ24" i="7"/>
  <c r="BJ23" i="7"/>
  <c r="BJ22" i="7"/>
  <c r="BJ21" i="7"/>
  <c r="BJ20" i="7"/>
  <c r="BJ19" i="7"/>
  <c r="BJ18" i="7"/>
  <c r="BJ17" i="7"/>
  <c r="BJ16" i="7"/>
  <c r="BJ15" i="7"/>
  <c r="BJ14" i="7"/>
  <c r="BJ13" i="7"/>
  <c r="BJ12" i="7"/>
  <c r="BF12" i="7"/>
  <c r="BJ11" i="7"/>
  <c r="BJ10" i="7"/>
  <c r="BF10" i="7"/>
  <c r="BJ9" i="7"/>
  <c r="BH8" i="7"/>
  <c r="BJ8" i="7" s="1"/>
  <c r="BG49" i="6"/>
  <c r="BG47" i="6"/>
  <c r="BG42" i="6"/>
  <c r="BG41" i="6"/>
  <c r="BG29" i="6"/>
  <c r="BG27" i="6"/>
  <c r="BG25" i="6"/>
  <c r="BG23" i="6"/>
  <c r="BG21" i="6"/>
  <c r="BG14" i="6"/>
  <c r="BG12" i="6"/>
  <c r="BG10" i="6"/>
  <c r="AC6" i="6"/>
  <c r="BE6" i="6" s="1"/>
  <c r="AA6" i="6"/>
  <c r="BC6" i="6" s="1"/>
  <c r="E6" i="5"/>
  <c r="Q82" i="3"/>
  <c r="Q81" i="3"/>
  <c r="Q80" i="3"/>
  <c r="Q79" i="3"/>
  <c r="Q78" i="3"/>
  <c r="Q77" i="3"/>
  <c r="Q76" i="3"/>
  <c r="E76" i="8" s="1"/>
  <c r="F76" i="8" s="1"/>
  <c r="Q75" i="3"/>
  <c r="E75" i="8" s="1"/>
  <c r="F75" i="8" s="1"/>
  <c r="Q74" i="3"/>
  <c r="E74" i="8" s="1"/>
  <c r="F74" i="8" s="1"/>
  <c r="Q73" i="3"/>
  <c r="E73" i="8" s="1"/>
  <c r="F73" i="8" s="1"/>
  <c r="Q72" i="3"/>
  <c r="E72" i="8" s="1"/>
  <c r="F72" i="8" s="1"/>
  <c r="Q71" i="3"/>
  <c r="E71" i="8" s="1"/>
  <c r="F71" i="8" s="1"/>
  <c r="Q70" i="3"/>
  <c r="E70" i="8" s="1"/>
  <c r="F70" i="8" s="1"/>
  <c r="Q69" i="3"/>
  <c r="E69" i="8" s="1"/>
  <c r="F69" i="8" s="1"/>
  <c r="Q68" i="3"/>
  <c r="E68" i="8" s="1"/>
  <c r="F68" i="8" s="1"/>
  <c r="Q67" i="3"/>
  <c r="E67" i="8" s="1"/>
  <c r="F67" i="8" s="1"/>
  <c r="Q66" i="3"/>
  <c r="E66" i="8" s="1"/>
  <c r="F66" i="8" s="1"/>
  <c r="Q65" i="3"/>
  <c r="E65" i="8" s="1"/>
  <c r="F65" i="8" s="1"/>
  <c r="Q64" i="3"/>
  <c r="E64" i="8" s="1"/>
  <c r="F64" i="8" s="1"/>
  <c r="H64" i="8" s="1"/>
  <c r="Q63" i="3"/>
  <c r="E63" i="8" s="1"/>
  <c r="F63" i="8" s="1"/>
  <c r="Q62" i="3"/>
  <c r="E62" i="8" s="1"/>
  <c r="F62" i="8" s="1"/>
  <c r="Q61" i="3"/>
  <c r="E61" i="8" s="1"/>
  <c r="F61" i="8" s="1"/>
  <c r="E59" i="1"/>
  <c r="Q58" i="3"/>
  <c r="E58" i="8" s="1"/>
  <c r="F58" i="8" s="1"/>
  <c r="Q57" i="3"/>
  <c r="E57" i="8" s="1"/>
  <c r="F57" i="8" s="1"/>
  <c r="Q56" i="3"/>
  <c r="E56" i="8" s="1"/>
  <c r="F56" i="8" s="1"/>
  <c r="Q55" i="3"/>
  <c r="E55" i="8" s="1"/>
  <c r="F55" i="8" s="1"/>
  <c r="Q54" i="3"/>
  <c r="E54" i="8" s="1"/>
  <c r="F54" i="8" s="1"/>
  <c r="Q53" i="3"/>
  <c r="E53" i="8" s="1"/>
  <c r="F53" i="8" s="1"/>
  <c r="Q52" i="3"/>
  <c r="E52" i="8" s="1"/>
  <c r="F52" i="8" s="1"/>
  <c r="Q51" i="3"/>
  <c r="E51" i="8" s="1"/>
  <c r="F51" i="8" s="1"/>
  <c r="Q50" i="3"/>
  <c r="E50" i="8" s="1"/>
  <c r="F50" i="8" s="1"/>
  <c r="Q49" i="3"/>
  <c r="E49" i="8" s="1"/>
  <c r="F49" i="8" s="1"/>
  <c r="Q48" i="3"/>
  <c r="E48" i="8" s="1"/>
  <c r="F48" i="8" s="1"/>
  <c r="Q47" i="3"/>
  <c r="E47" i="8" s="1"/>
  <c r="F47" i="8" s="1"/>
  <c r="Q46" i="3"/>
  <c r="E46" i="8" s="1"/>
  <c r="F46" i="8" s="1"/>
  <c r="Q45" i="3"/>
  <c r="E45" i="8" s="1"/>
  <c r="F45" i="8" s="1"/>
  <c r="Q44" i="3"/>
  <c r="E44" i="8" s="1"/>
  <c r="F44" i="8" s="1"/>
  <c r="Q43" i="3"/>
  <c r="E43" i="8" s="1"/>
  <c r="F43" i="8" s="1"/>
  <c r="Q42" i="3"/>
  <c r="E42" i="8" s="1"/>
  <c r="F42" i="8" s="1"/>
  <c r="Q41" i="3"/>
  <c r="E41" i="8" s="1"/>
  <c r="F41" i="8" s="1"/>
  <c r="Q40" i="3"/>
  <c r="E40" i="8" s="1"/>
  <c r="F40" i="8" s="1"/>
  <c r="Q39" i="3"/>
  <c r="E39" i="8" s="1"/>
  <c r="F39" i="8" s="1"/>
  <c r="Q38" i="3"/>
  <c r="E38" i="8" s="1"/>
  <c r="F38" i="8" s="1"/>
  <c r="Q37" i="3"/>
  <c r="E37" i="8" s="1"/>
  <c r="F37" i="8" s="1"/>
  <c r="Q36" i="3"/>
  <c r="E36" i="8" s="1"/>
  <c r="F36" i="8" s="1"/>
  <c r="Q35" i="3"/>
  <c r="E35" i="8" s="1"/>
  <c r="F35" i="8" s="1"/>
  <c r="Q34" i="3"/>
  <c r="E34" i="8" s="1"/>
  <c r="F34" i="8" s="1"/>
  <c r="Q33" i="3"/>
  <c r="E33" i="8" s="1"/>
  <c r="F33" i="8" s="1"/>
  <c r="Q32" i="3"/>
  <c r="E32" i="8" s="1"/>
  <c r="F32" i="8" s="1"/>
  <c r="Q31" i="3"/>
  <c r="E31" i="8" s="1"/>
  <c r="F31" i="8" s="1"/>
  <c r="Q30" i="3"/>
  <c r="E30" i="8" s="1"/>
  <c r="F30" i="8" s="1"/>
  <c r="Q29" i="3"/>
  <c r="E29" i="8" s="1"/>
  <c r="F29" i="8" s="1"/>
  <c r="Q28" i="3"/>
  <c r="E28" i="8" s="1"/>
  <c r="F28" i="8" s="1"/>
  <c r="Q27" i="3"/>
  <c r="E27" i="8" s="1"/>
  <c r="F27" i="8" s="1"/>
  <c r="Q26" i="3"/>
  <c r="E26" i="8" s="1"/>
  <c r="F26" i="8" s="1"/>
  <c r="Q25" i="3"/>
  <c r="E25" i="8" s="1"/>
  <c r="F25" i="8" s="1"/>
  <c r="Q24" i="3"/>
  <c r="E24" i="8" s="1"/>
  <c r="F24" i="8" s="1"/>
  <c r="Q23" i="3"/>
  <c r="E23" i="8" s="1"/>
  <c r="F23" i="8" s="1"/>
  <c r="Q22" i="3"/>
  <c r="E22" i="8" s="1"/>
  <c r="F22" i="8" s="1"/>
  <c r="Q21" i="3"/>
  <c r="E21" i="8" s="1"/>
  <c r="F21" i="8" s="1"/>
  <c r="Q20" i="3"/>
  <c r="E20" i="8" s="1"/>
  <c r="F20" i="8" s="1"/>
  <c r="Q19" i="3"/>
  <c r="E19" i="8" s="1"/>
  <c r="F19" i="8" s="1"/>
  <c r="Q17" i="3"/>
  <c r="E17" i="8" s="1"/>
  <c r="F17" i="8" s="1"/>
  <c r="Q16" i="3"/>
  <c r="E16" i="8" s="1"/>
  <c r="F16" i="8" s="1"/>
  <c r="Q15" i="3"/>
  <c r="E15" i="8" s="1"/>
  <c r="F15" i="8" s="1"/>
  <c r="O15" i="3"/>
  <c r="C15" i="8" s="1"/>
  <c r="Q14" i="3"/>
  <c r="E14" i="8" s="1"/>
  <c r="F14" i="8" s="1"/>
  <c r="Q13" i="3"/>
  <c r="E13" i="8" s="1"/>
  <c r="F13" i="8" s="1"/>
  <c r="Q12" i="3"/>
  <c r="E12" i="8" s="1"/>
  <c r="F12" i="8" s="1"/>
  <c r="Q11" i="3"/>
  <c r="E11" i="8" s="1"/>
  <c r="F11" i="8" s="1"/>
  <c r="Q10" i="3"/>
  <c r="E10" i="8" s="1"/>
  <c r="F10" i="8" s="1"/>
  <c r="Q9" i="3"/>
  <c r="E9" i="8" s="1"/>
  <c r="F9" i="8" s="1"/>
  <c r="Q7" i="3"/>
  <c r="M6" i="3"/>
  <c r="N6" i="3" s="1"/>
  <c r="G66" i="2"/>
  <c r="G60" i="2"/>
  <c r="G58" i="2"/>
  <c r="G27" i="2"/>
  <c r="G22" i="2"/>
  <c r="H15" i="8" l="1"/>
  <c r="E82" i="1"/>
  <c r="E82" i="8"/>
  <c r="F82" i="8" s="1"/>
  <c r="E81" i="1"/>
  <c r="E81" i="8"/>
  <c r="F81" i="8" s="1"/>
  <c r="E80" i="1"/>
  <c r="E80" i="8"/>
  <c r="F80" i="8" s="1"/>
  <c r="E79" i="1"/>
  <c r="E79" i="8"/>
  <c r="F79" i="8" s="1"/>
  <c r="E78" i="1"/>
  <c r="E78" i="8"/>
  <c r="F78" i="8" s="1"/>
  <c r="E77" i="1"/>
  <c r="E77" i="8"/>
  <c r="F77" i="8" s="1"/>
  <c r="E7" i="1"/>
  <c r="E7" i="8"/>
  <c r="BF48" i="7"/>
  <c r="AC8" i="7"/>
  <c r="BF72" i="7"/>
  <c r="BF56" i="7"/>
  <c r="BF53" i="7"/>
  <c r="BF15" i="7"/>
  <c r="BF9" i="7"/>
  <c r="BF57" i="7"/>
  <c r="BF21" i="7"/>
  <c r="Z8" i="7"/>
  <c r="AY69" i="7"/>
  <c r="BF46" i="7"/>
  <c r="AY32" i="7"/>
  <c r="K52" i="7"/>
  <c r="BF16" i="7"/>
  <c r="AR8" i="7"/>
  <c r="K18" i="7"/>
  <c r="BF80" i="7"/>
  <c r="BF70" i="7"/>
  <c r="BF33" i="7"/>
  <c r="BF28" i="7"/>
  <c r="BF40" i="7"/>
  <c r="BF24" i="7"/>
  <c r="BF59" i="7"/>
  <c r="BF50" i="7"/>
  <c r="O40" i="7"/>
  <c r="Q40" i="7" s="1"/>
  <c r="BF55" i="7"/>
  <c r="K38" i="7"/>
  <c r="BH4" i="6"/>
  <c r="O17" i="7"/>
  <c r="Q17" i="7" s="1"/>
  <c r="AU8" i="7"/>
  <c r="BF60" i="7"/>
  <c r="BF29" i="7"/>
  <c r="BF79" i="7"/>
  <c r="BF61" i="7"/>
  <c r="K39" i="7"/>
  <c r="O34" i="7"/>
  <c r="BF41" i="7"/>
  <c r="BF42" i="7"/>
  <c r="BF67" i="7"/>
  <c r="K66" i="7"/>
  <c r="AY48" i="7"/>
  <c r="K12" i="7"/>
  <c r="K67" i="7"/>
  <c r="BF38" i="7"/>
  <c r="O23" i="7"/>
  <c r="BE23" i="7" s="1"/>
  <c r="BF19" i="7"/>
  <c r="AY10" i="7"/>
  <c r="BF69" i="7"/>
  <c r="K49" i="7"/>
  <c r="BA24" i="7"/>
  <c r="BF23" i="7"/>
  <c r="K29" i="7"/>
  <c r="BF32" i="7"/>
  <c r="BF78" i="7"/>
  <c r="BF76" i="7"/>
  <c r="O71" i="7"/>
  <c r="K59" i="7"/>
  <c r="BF58" i="7"/>
  <c r="K56" i="7"/>
  <c r="BF51" i="7"/>
  <c r="O49" i="7"/>
  <c r="K82" i="7"/>
  <c r="O58" i="7"/>
  <c r="Q58" i="7" s="1"/>
  <c r="K37" i="7"/>
  <c r="BF75" i="7"/>
  <c r="K73" i="7"/>
  <c r="H71" i="7"/>
  <c r="K34" i="7"/>
  <c r="K15" i="7"/>
  <c r="AX8" i="7"/>
  <c r="BA48" i="7"/>
  <c r="BA76" i="7"/>
  <c r="BA28" i="7"/>
  <c r="BF27" i="7"/>
  <c r="O27" i="7"/>
  <c r="BF26" i="7"/>
  <c r="O21" i="7"/>
  <c r="Q21" i="7" s="1"/>
  <c r="R15" i="3"/>
  <c r="G15" i="8" s="1"/>
  <c r="O70" i="7"/>
  <c r="BE70" i="7" s="1"/>
  <c r="BA51" i="7"/>
  <c r="AY41" i="7"/>
  <c r="O24" i="7"/>
  <c r="K83" i="7"/>
  <c r="O77" i="7"/>
  <c r="K74" i="7"/>
  <c r="K72" i="7"/>
  <c r="BF62" i="7"/>
  <c r="O61" i="7"/>
  <c r="O55" i="7"/>
  <c r="Q55" i="7" s="1"/>
  <c r="P37" i="7"/>
  <c r="BF37" i="7" s="1"/>
  <c r="P20" i="7"/>
  <c r="BF14" i="7"/>
  <c r="BF13" i="7"/>
  <c r="BA10" i="7"/>
  <c r="BA78" i="7"/>
  <c r="K54" i="7"/>
  <c r="BA41" i="7"/>
  <c r="O39" i="7"/>
  <c r="BF35" i="7"/>
  <c r="O15" i="7"/>
  <c r="Q15" i="7" s="1"/>
  <c r="K50" i="7"/>
  <c r="O42" i="7"/>
  <c r="Q42" i="7" s="1"/>
  <c r="O26" i="7"/>
  <c r="Q26" i="7" s="1"/>
  <c r="K22" i="7"/>
  <c r="BF17" i="7"/>
  <c r="E61" i="1"/>
  <c r="E38" i="1"/>
  <c r="E46" i="1"/>
  <c r="R64" i="3"/>
  <c r="G64" i="8" s="1"/>
  <c r="E73" i="1"/>
  <c r="E66" i="1"/>
  <c r="E26" i="1"/>
  <c r="E50" i="1"/>
  <c r="E58" i="1"/>
  <c r="R7" i="3"/>
  <c r="G7" i="8" s="1"/>
  <c r="AD6" i="6"/>
  <c r="BF6" i="6" s="1"/>
  <c r="G81" i="5"/>
  <c r="C15" i="1"/>
  <c r="S7" i="3"/>
  <c r="E64" i="1"/>
  <c r="K81" i="7"/>
  <c r="O79" i="7"/>
  <c r="Q79" i="7" s="1"/>
  <c r="H77" i="7"/>
  <c r="N70" i="7"/>
  <c r="O66" i="7"/>
  <c r="O60" i="7"/>
  <c r="Q60" i="7" s="1"/>
  <c r="O54" i="7"/>
  <c r="BE54" i="7" s="1"/>
  <c r="AY53" i="7"/>
  <c r="K51" i="7"/>
  <c r="O25" i="7"/>
  <c r="BE25" i="7" s="1"/>
  <c r="BA23" i="7"/>
  <c r="O22" i="7"/>
  <c r="BE22" i="7" s="1"/>
  <c r="K21" i="7"/>
  <c r="O20" i="7"/>
  <c r="AI8" i="7"/>
  <c r="G82" i="5"/>
  <c r="K75" i="7"/>
  <c r="BA57" i="7"/>
  <c r="BA36" i="7"/>
  <c r="O32" i="7"/>
  <c r="Q32" i="7" s="1"/>
  <c r="BA12" i="7"/>
  <c r="G80" i="5"/>
  <c r="O82" i="7"/>
  <c r="O76" i="7"/>
  <c r="Q76" i="7" s="1"/>
  <c r="BA75" i="7"/>
  <c r="BF73" i="7"/>
  <c r="K71" i="7"/>
  <c r="O64" i="7"/>
  <c r="AO59" i="7"/>
  <c r="BA59" i="7" s="1"/>
  <c r="BF52" i="7"/>
  <c r="H49" i="7"/>
  <c r="O44" i="7"/>
  <c r="BE44" i="7" s="1"/>
  <c r="N40" i="7"/>
  <c r="BA39" i="7"/>
  <c r="O37" i="7"/>
  <c r="Q37" i="7" s="1"/>
  <c r="AY34" i="7"/>
  <c r="BA33" i="7"/>
  <c r="O29" i="7"/>
  <c r="Q29" i="7" s="1"/>
  <c r="K23" i="7"/>
  <c r="BA16" i="7"/>
  <c r="O11" i="7"/>
  <c r="Q11" i="7" s="1"/>
  <c r="AF8" i="7"/>
  <c r="G79" i="5"/>
  <c r="O80" i="7"/>
  <c r="Q80" i="7" s="1"/>
  <c r="BA68" i="7"/>
  <c r="BA44" i="7"/>
  <c r="BA42" i="7"/>
  <c r="O33" i="7"/>
  <c r="Q33" i="7" s="1"/>
  <c r="BA21" i="7"/>
  <c r="O19" i="7"/>
  <c r="Q19" i="7" s="1"/>
  <c r="BA14" i="7"/>
  <c r="BA69" i="7"/>
  <c r="BA64" i="7"/>
  <c r="BA60" i="7"/>
  <c r="O47" i="7"/>
  <c r="BE47" i="7" s="1"/>
  <c r="O38" i="7"/>
  <c r="Q38" i="7" s="1"/>
  <c r="BA37" i="7"/>
  <c r="O30" i="7"/>
  <c r="BA19" i="7"/>
  <c r="O80" i="3"/>
  <c r="C80" i="8" s="1"/>
  <c r="AY80" i="7"/>
  <c r="K77" i="7"/>
  <c r="BF74" i="7"/>
  <c r="O63" i="7"/>
  <c r="BA54" i="7"/>
  <c r="K46" i="7"/>
  <c r="AY40" i="7"/>
  <c r="BA35" i="7"/>
  <c r="K35" i="7"/>
  <c r="P22" i="7"/>
  <c r="BF22" i="7" s="1"/>
  <c r="K20" i="7"/>
  <c r="O16" i="7"/>
  <c r="BE16" i="7" s="1"/>
  <c r="BA11" i="7"/>
  <c r="BA9" i="7"/>
  <c r="G48" i="2"/>
  <c r="G24" i="2"/>
  <c r="BA84" i="7"/>
  <c r="BA82" i="7"/>
  <c r="BA71" i="7"/>
  <c r="BA49" i="7"/>
  <c r="O48" i="7"/>
  <c r="Q48" i="7" s="1"/>
  <c r="O43" i="7"/>
  <c r="BE43" i="7" s="1"/>
  <c r="O41" i="7"/>
  <c r="BA17" i="7"/>
  <c r="BA13" i="7"/>
  <c r="BG58" i="6"/>
  <c r="BG69" i="6"/>
  <c r="BG19" i="6"/>
  <c r="BG79" i="6"/>
  <c r="BG9" i="6"/>
  <c r="BG11" i="6"/>
  <c r="BG13" i="6"/>
  <c r="BG15" i="6"/>
  <c r="BG68" i="6"/>
  <c r="BG16" i="6"/>
  <c r="BG80" i="6"/>
  <c r="BG82" i="6"/>
  <c r="BG76" i="6"/>
  <c r="BG17" i="6"/>
  <c r="BG32" i="6"/>
  <c r="BG34" i="6"/>
  <c r="BG36" i="6"/>
  <c r="BG70" i="6"/>
  <c r="BG72" i="6"/>
  <c r="BG74" i="6"/>
  <c r="BG24" i="6"/>
  <c r="BG26" i="6"/>
  <c r="BG46" i="6"/>
  <c r="BG48" i="6"/>
  <c r="BG50" i="6"/>
  <c r="BG57" i="6"/>
  <c r="BG75" i="6"/>
  <c r="E52" i="1"/>
  <c r="BG35" i="6"/>
  <c r="BG37" i="6"/>
  <c r="BG71" i="6"/>
  <c r="BG73" i="6"/>
  <c r="E68" i="1"/>
  <c r="BG8" i="6"/>
  <c r="BG31" i="6"/>
  <c r="BG53" i="6"/>
  <c r="BG60" i="6"/>
  <c r="BG62" i="6"/>
  <c r="BG67" i="6"/>
  <c r="E13" i="1"/>
  <c r="E39" i="1"/>
  <c r="E49" i="1"/>
  <c r="BG81" i="6"/>
  <c r="BG66" i="6"/>
  <c r="BG61" i="6"/>
  <c r="BG56" i="6"/>
  <c r="BG55" i="6"/>
  <c r="BG52" i="6"/>
  <c r="BG45" i="6"/>
  <c r="BG44" i="6"/>
  <c r="BG33" i="6"/>
  <c r="BG28" i="6"/>
  <c r="BG20" i="6"/>
  <c r="BG22" i="6"/>
  <c r="E33" i="1"/>
  <c r="E24" i="1"/>
  <c r="E20" i="1"/>
  <c r="E16" i="1"/>
  <c r="E8" i="1"/>
  <c r="E23" i="1"/>
  <c r="E47" i="1"/>
  <c r="E41" i="1"/>
  <c r="E29" i="1"/>
  <c r="E21" i="1"/>
  <c r="E43" i="1"/>
  <c r="E72" i="1"/>
  <c r="E54" i="1"/>
  <c r="E32" i="1"/>
  <c r="E34" i="1"/>
  <c r="E36" i="1"/>
  <c r="E45" i="1"/>
  <c r="E19" i="1"/>
  <c r="BG18" i="6"/>
  <c r="E76" i="1"/>
  <c r="E74" i="1"/>
  <c r="E71" i="1"/>
  <c r="E57" i="1"/>
  <c r="E55" i="1"/>
  <c r="E51" i="1"/>
  <c r="BG51" i="6"/>
  <c r="E48" i="1"/>
  <c r="E37" i="1"/>
  <c r="E27" i="1"/>
  <c r="E22" i="1"/>
  <c r="E17" i="1"/>
  <c r="E11" i="1"/>
  <c r="S15" i="3"/>
  <c r="O48" i="3"/>
  <c r="C48" i="8" s="1"/>
  <c r="H48" i="8" s="1"/>
  <c r="O50" i="3"/>
  <c r="C50" i="8" s="1"/>
  <c r="H50" i="8" s="1"/>
  <c r="O70" i="3"/>
  <c r="C70" i="8" s="1"/>
  <c r="H70" i="8" s="1"/>
  <c r="O72" i="3"/>
  <c r="C72" i="8" s="1"/>
  <c r="H72" i="8" s="1"/>
  <c r="O76" i="3"/>
  <c r="C76" i="8" s="1"/>
  <c r="H76" i="8" s="1"/>
  <c r="O25" i="3"/>
  <c r="C25" i="8" s="1"/>
  <c r="H25" i="8" s="1"/>
  <c r="O51" i="3"/>
  <c r="C51" i="8" s="1"/>
  <c r="H51" i="8" s="1"/>
  <c r="O57" i="3"/>
  <c r="C57" i="8" s="1"/>
  <c r="H57" i="8" s="1"/>
  <c r="O71" i="3"/>
  <c r="C71" i="8" s="1"/>
  <c r="H71" i="8" s="1"/>
  <c r="O73" i="3"/>
  <c r="C73" i="8" s="1"/>
  <c r="H73" i="8" s="1"/>
  <c r="E69" i="1"/>
  <c r="E40" i="1"/>
  <c r="E67" i="1"/>
  <c r="E53" i="1"/>
  <c r="E12" i="1"/>
  <c r="E31" i="1"/>
  <c r="E60" i="1"/>
  <c r="E14" i="1"/>
  <c r="E62" i="1"/>
  <c r="E15" i="1"/>
  <c r="E28" i="1"/>
  <c r="G6" i="4"/>
  <c r="K10" i="7"/>
  <c r="O10" i="7"/>
  <c r="Q10" i="7" s="1"/>
  <c r="E10" i="1"/>
  <c r="O12" i="3"/>
  <c r="C12" i="8" s="1"/>
  <c r="H12" i="8" s="1"/>
  <c r="O31" i="3"/>
  <c r="C31" i="8" s="1"/>
  <c r="O34" i="3"/>
  <c r="C34" i="8" s="1"/>
  <c r="H34" i="8" s="1"/>
  <c r="E35" i="1"/>
  <c r="O40" i="3"/>
  <c r="C40" i="8" s="1"/>
  <c r="H40" i="8" s="1"/>
  <c r="E65" i="1"/>
  <c r="O67" i="3"/>
  <c r="C67" i="8" s="1"/>
  <c r="H67" i="8" s="1"/>
  <c r="P81" i="7"/>
  <c r="BF81" i="7" s="1"/>
  <c r="K78" i="7"/>
  <c r="O78" i="7"/>
  <c r="Q78" i="7" s="1"/>
  <c r="BA62" i="7"/>
  <c r="H36" i="7"/>
  <c r="O36" i="7"/>
  <c r="Q36" i="7" s="1"/>
  <c r="K30" i="7"/>
  <c r="P30" i="7"/>
  <c r="BF30" i="7" s="1"/>
  <c r="H14" i="7"/>
  <c r="O14" i="7"/>
  <c r="Q14" i="7" s="1"/>
  <c r="C8" i="7"/>
  <c r="E8" i="7" s="1"/>
  <c r="E24" i="7"/>
  <c r="O9" i="3"/>
  <c r="C9" i="8" s="1"/>
  <c r="H9" i="8" s="1"/>
  <c r="O53" i="3"/>
  <c r="C53" i="8" s="1"/>
  <c r="H53" i="8" s="1"/>
  <c r="E70" i="1"/>
  <c r="BF83" i="7"/>
  <c r="AO79" i="7"/>
  <c r="BA79" i="7" s="1"/>
  <c r="AY79" i="7"/>
  <c r="BA31" i="7"/>
  <c r="BA29" i="7"/>
  <c r="BC8" i="7"/>
  <c r="BD8" i="7" s="1"/>
  <c r="BD17" i="7"/>
  <c r="BA80" i="7"/>
  <c r="W61" i="7"/>
  <c r="BA61" i="7" s="1"/>
  <c r="AY61" i="7"/>
  <c r="BA27" i="7"/>
  <c r="O30" i="3"/>
  <c r="C30" i="8" s="1"/>
  <c r="H30" i="8" s="1"/>
  <c r="O39" i="3"/>
  <c r="C39" i="8" s="1"/>
  <c r="H39" i="8" s="1"/>
  <c r="O55" i="3"/>
  <c r="C55" i="8" s="1"/>
  <c r="H55" i="8" s="1"/>
  <c r="E56" i="1"/>
  <c r="K57" i="7"/>
  <c r="O57" i="7"/>
  <c r="BE57" i="7" s="1"/>
  <c r="BA47" i="7"/>
  <c r="BA25" i="7"/>
  <c r="H13" i="7"/>
  <c r="O13" i="7"/>
  <c r="Q13" i="7" s="1"/>
  <c r="F8" i="7"/>
  <c r="O9" i="7"/>
  <c r="Q9" i="7" s="1"/>
  <c r="I6" i="3"/>
  <c r="O8" i="3"/>
  <c r="C8" i="8" s="1"/>
  <c r="H8" i="8" s="1"/>
  <c r="E9" i="1"/>
  <c r="O27" i="3"/>
  <c r="C27" i="8" s="1"/>
  <c r="H27" i="8" s="1"/>
  <c r="E42" i="1"/>
  <c r="O74" i="3"/>
  <c r="C74" i="8" s="1"/>
  <c r="H74" i="8" s="1"/>
  <c r="E75" i="1"/>
  <c r="O77" i="3"/>
  <c r="C77" i="8" s="1"/>
  <c r="BA83" i="7"/>
  <c r="BA40" i="7"/>
  <c r="BA38" i="7"/>
  <c r="H35" i="7"/>
  <c r="O35" i="7"/>
  <c r="Q35" i="7" s="1"/>
  <c r="K31" i="7"/>
  <c r="P31" i="7"/>
  <c r="BF31" i="7" s="1"/>
  <c r="O28" i="7"/>
  <c r="Q28" i="7" s="1"/>
  <c r="E25" i="1"/>
  <c r="O68" i="3"/>
  <c r="C68" i="8" s="1"/>
  <c r="H68" i="8" s="1"/>
  <c r="BG65" i="6"/>
  <c r="H69" i="7"/>
  <c r="O69" i="7"/>
  <c r="Q69" i="7" s="1"/>
  <c r="BA63" i="7"/>
  <c r="H62" i="7"/>
  <c r="O62" i="7"/>
  <c r="Q62" i="7" s="1"/>
  <c r="H45" i="7"/>
  <c r="O45" i="7"/>
  <c r="BA43" i="7"/>
  <c r="BA30" i="7"/>
  <c r="BA26" i="7"/>
  <c r="BA15" i="7"/>
  <c r="E30" i="1"/>
  <c r="O32" i="3"/>
  <c r="C32" i="8" s="1"/>
  <c r="H32" i="8" s="1"/>
  <c r="O38" i="3"/>
  <c r="C38" i="8" s="1"/>
  <c r="H38" i="8" s="1"/>
  <c r="E44" i="1"/>
  <c r="O46" i="3"/>
  <c r="C46" i="8" s="1"/>
  <c r="H46" i="8" s="1"/>
  <c r="O54" i="3"/>
  <c r="C54" i="8" s="1"/>
  <c r="H54" i="8" s="1"/>
  <c r="E63" i="1"/>
  <c r="O79" i="3"/>
  <c r="C79" i="8" s="1"/>
  <c r="O84" i="7"/>
  <c r="BE84" i="7" s="1"/>
  <c r="BA53" i="7"/>
  <c r="BA46" i="7"/>
  <c r="W20" i="7"/>
  <c r="AZ20" i="7"/>
  <c r="BF20" i="7" s="1"/>
  <c r="K84" i="7"/>
  <c r="O68" i="7"/>
  <c r="O65" i="7"/>
  <c r="K64" i="7"/>
  <c r="H63" i="7"/>
  <c r="W56" i="7"/>
  <c r="BA56" i="7" s="1"/>
  <c r="K47" i="7"/>
  <c r="AY46" i="7"/>
  <c r="BA45" i="7"/>
  <c r="K43" i="7"/>
  <c r="AY42" i="7"/>
  <c r="P39" i="7"/>
  <c r="P34" i="7"/>
  <c r="O31" i="7"/>
  <c r="Q31" i="7" s="1"/>
  <c r="AL20" i="7"/>
  <c r="H19" i="7"/>
  <c r="W18" i="7"/>
  <c r="BA18" i="7" s="1"/>
  <c r="U8" i="7"/>
  <c r="BA72" i="7"/>
  <c r="BA66" i="7"/>
  <c r="BA52" i="7"/>
  <c r="V8" i="7"/>
  <c r="O12" i="7"/>
  <c r="Q12" i="7" s="1"/>
  <c r="K68" i="7"/>
  <c r="K65" i="7"/>
  <c r="H64" i="7"/>
  <c r="H47" i="7"/>
  <c r="K44" i="7"/>
  <c r="H43" i="7"/>
  <c r="H29" i="7"/>
  <c r="H28" i="7"/>
  <c r="H27" i="7"/>
  <c r="K25" i="7"/>
  <c r="BA73" i="7"/>
  <c r="BA32" i="7"/>
  <c r="BA70" i="7"/>
  <c r="K45" i="7"/>
  <c r="K36" i="7"/>
  <c r="Q27" i="7"/>
  <c r="W22" i="7"/>
  <c r="BA22" i="7" s="1"/>
  <c r="BA74" i="7"/>
  <c r="BA50" i="7"/>
  <c r="BA34" i="7"/>
  <c r="J8" i="7"/>
  <c r="P8" i="7" s="1"/>
  <c r="L8" i="7"/>
  <c r="N8" i="7" s="1"/>
  <c r="R8" i="7"/>
  <c r="T8" i="7" s="1"/>
  <c r="BA65" i="7"/>
  <c r="K63" i="7"/>
  <c r="BA55" i="7"/>
  <c r="P25" i="7"/>
  <c r="Q24" i="7"/>
  <c r="K19" i="7"/>
  <c r="O18" i="7"/>
  <c r="Q18" i="7" s="1"/>
  <c r="I8" i="7"/>
  <c r="H8" i="7"/>
  <c r="BA81" i="7"/>
  <c r="BA77" i="7"/>
  <c r="BA67" i="7"/>
  <c r="BA58" i="7"/>
  <c r="H20" i="7"/>
  <c r="N9" i="7"/>
  <c r="K9" i="7"/>
  <c r="H9" i="7"/>
  <c r="AM8" i="7"/>
  <c r="AO8" i="7" s="1"/>
  <c r="P84" i="7"/>
  <c r="O83" i="7"/>
  <c r="Q83" i="7" s="1"/>
  <c r="P82" i="7"/>
  <c r="AY81" i="7"/>
  <c r="T81" i="7"/>
  <c r="O81" i="7"/>
  <c r="Q81" i="7" s="1"/>
  <c r="AY78" i="7"/>
  <c r="AY77" i="7"/>
  <c r="P77" i="7"/>
  <c r="O75" i="7"/>
  <c r="Q75" i="7" s="1"/>
  <c r="O74" i="7"/>
  <c r="Q74" i="7" s="1"/>
  <c r="O73" i="7"/>
  <c r="Q73" i="7" s="1"/>
  <c r="O72" i="7"/>
  <c r="Q72" i="7" s="1"/>
  <c r="AY71" i="7"/>
  <c r="P71" i="7"/>
  <c r="P68" i="7"/>
  <c r="AY67" i="7"/>
  <c r="O67" i="7"/>
  <c r="Q67" i="7" s="1"/>
  <c r="AY66" i="7"/>
  <c r="P66" i="7"/>
  <c r="AY65" i="7"/>
  <c r="P65" i="7"/>
  <c r="P64" i="7"/>
  <c r="P63" i="7"/>
  <c r="O59" i="7"/>
  <c r="Q59" i="7" s="1"/>
  <c r="AY58" i="7"/>
  <c r="O56" i="7"/>
  <c r="Q56" i="7" s="1"/>
  <c r="P54" i="7"/>
  <c r="O53" i="7"/>
  <c r="Q53" i="7" s="1"/>
  <c r="O52" i="7"/>
  <c r="Q52" i="7" s="1"/>
  <c r="O51" i="7"/>
  <c r="Q51" i="7" s="1"/>
  <c r="O50" i="7"/>
  <c r="Q50" i="7" s="1"/>
  <c r="P49" i="7"/>
  <c r="P47" i="7"/>
  <c r="O46" i="7"/>
  <c r="Q46" i="7" s="1"/>
  <c r="AY45" i="7"/>
  <c r="P45" i="7"/>
  <c r="P44" i="7"/>
  <c r="P43" i="7"/>
  <c r="BE9" i="7"/>
  <c r="BE24" i="7"/>
  <c r="BE35" i="7"/>
  <c r="BG35" i="7" s="1"/>
  <c r="BF18" i="7"/>
  <c r="BF36" i="7"/>
  <c r="O59" i="3"/>
  <c r="C59" i="8" s="1"/>
  <c r="H59" i="8" s="1"/>
  <c r="O10" i="3"/>
  <c r="C10" i="8" s="1"/>
  <c r="H10" i="8" s="1"/>
  <c r="O13" i="3"/>
  <c r="C13" i="8" s="1"/>
  <c r="H13" i="8" s="1"/>
  <c r="O28" i="3"/>
  <c r="C28" i="8" s="1"/>
  <c r="H28" i="8" s="1"/>
  <c r="O44" i="3"/>
  <c r="C44" i="8" s="1"/>
  <c r="H44" i="8" s="1"/>
  <c r="O49" i="3"/>
  <c r="C49" i="8" s="1"/>
  <c r="H49" i="8" s="1"/>
  <c r="O65" i="3"/>
  <c r="C65" i="8" s="1"/>
  <c r="H65" i="8" s="1"/>
  <c r="O75" i="3"/>
  <c r="C75" i="8" s="1"/>
  <c r="H75" i="8" s="1"/>
  <c r="O78" i="3"/>
  <c r="C78" i="8" s="1"/>
  <c r="H78" i="8" s="1"/>
  <c r="O81" i="3"/>
  <c r="C6" i="5"/>
  <c r="F6" i="5" s="1"/>
  <c r="O33" i="3"/>
  <c r="C33" i="8" s="1"/>
  <c r="H33" i="8" s="1"/>
  <c r="O11" i="3"/>
  <c r="O14" i="3"/>
  <c r="C14" i="8" s="1"/>
  <c r="H14" i="8" s="1"/>
  <c r="O16" i="3"/>
  <c r="C16" i="8" s="1"/>
  <c r="H16" i="8" s="1"/>
  <c r="O17" i="3"/>
  <c r="C17" i="8" s="1"/>
  <c r="H17" i="8" s="1"/>
  <c r="O19" i="3"/>
  <c r="C19" i="8" s="1"/>
  <c r="H19" i="8" s="1"/>
  <c r="O20" i="3"/>
  <c r="C20" i="8" s="1"/>
  <c r="H20" i="8" s="1"/>
  <c r="O21" i="3"/>
  <c r="C21" i="8" s="1"/>
  <c r="H21" i="8" s="1"/>
  <c r="O22" i="3"/>
  <c r="C22" i="8" s="1"/>
  <c r="H22" i="8" s="1"/>
  <c r="O23" i="3"/>
  <c r="C23" i="8" s="1"/>
  <c r="H23" i="8" s="1"/>
  <c r="O24" i="3"/>
  <c r="C24" i="8" s="1"/>
  <c r="H24" i="8" s="1"/>
  <c r="O26" i="3"/>
  <c r="C26" i="8" s="1"/>
  <c r="H26" i="8" s="1"/>
  <c r="O29" i="3"/>
  <c r="C29" i="8" s="1"/>
  <c r="H29" i="8" s="1"/>
  <c r="O35" i="3"/>
  <c r="C35" i="8" s="1"/>
  <c r="H35" i="8" s="1"/>
  <c r="O36" i="3"/>
  <c r="C36" i="8" s="1"/>
  <c r="H36" i="8" s="1"/>
  <c r="O37" i="3"/>
  <c r="C37" i="8" s="1"/>
  <c r="H37" i="8" s="1"/>
  <c r="O41" i="3"/>
  <c r="C41" i="8" s="1"/>
  <c r="H41" i="8" s="1"/>
  <c r="O42" i="3"/>
  <c r="C42" i="8" s="1"/>
  <c r="H42" i="8" s="1"/>
  <c r="O43" i="3"/>
  <c r="C43" i="8" s="1"/>
  <c r="H43" i="8" s="1"/>
  <c r="O45" i="3"/>
  <c r="C45" i="8" s="1"/>
  <c r="H45" i="8" s="1"/>
  <c r="O47" i="3"/>
  <c r="C47" i="8" s="1"/>
  <c r="H47" i="8" s="1"/>
  <c r="O52" i="3"/>
  <c r="C52" i="8" s="1"/>
  <c r="H52" i="8" s="1"/>
  <c r="O56" i="3"/>
  <c r="C56" i="8" s="1"/>
  <c r="H56" i="8" s="1"/>
  <c r="O58" i="3"/>
  <c r="C58" i="8" s="1"/>
  <c r="H58" i="8" s="1"/>
  <c r="O60" i="3"/>
  <c r="C60" i="8" s="1"/>
  <c r="H60" i="8" s="1"/>
  <c r="O61" i="3"/>
  <c r="C61" i="8" s="1"/>
  <c r="H61" i="8" s="1"/>
  <c r="O62" i="3"/>
  <c r="C62" i="8" s="1"/>
  <c r="H62" i="8" s="1"/>
  <c r="O63" i="3"/>
  <c r="C63" i="8" s="1"/>
  <c r="H63" i="8" s="1"/>
  <c r="O66" i="3"/>
  <c r="C66" i="8" s="1"/>
  <c r="H66" i="8" s="1"/>
  <c r="O69" i="3"/>
  <c r="C69" i="8" s="1"/>
  <c r="H69" i="8" s="1"/>
  <c r="O82" i="3"/>
  <c r="C82" i="8" s="1"/>
  <c r="C6" i="2"/>
  <c r="F6" i="2" s="1"/>
  <c r="BG9" i="7" l="1"/>
  <c r="BG57" i="7"/>
  <c r="H77" i="8"/>
  <c r="C81" i="1"/>
  <c r="G81" i="1" s="1"/>
  <c r="C81" i="8"/>
  <c r="H81" i="8" s="1"/>
  <c r="H82" i="8"/>
  <c r="H79" i="8"/>
  <c r="H80" i="8"/>
  <c r="E6" i="8"/>
  <c r="F6" i="8" s="1"/>
  <c r="F7" i="8"/>
  <c r="H7" i="8" s="1"/>
  <c r="R11" i="3"/>
  <c r="G11" i="8" s="1"/>
  <c r="C11" i="8"/>
  <c r="H11" i="8" s="1"/>
  <c r="H31" i="8"/>
  <c r="E6" i="1"/>
  <c r="Q16" i="7"/>
  <c r="C37" i="1"/>
  <c r="G37" i="1" s="1"/>
  <c r="BG16" i="7"/>
  <c r="Q20" i="7"/>
  <c r="BE41" i="7"/>
  <c r="BE40" i="7"/>
  <c r="BG70" i="7"/>
  <c r="BE55" i="7"/>
  <c r="BG55" i="7" s="1"/>
  <c r="R16" i="3"/>
  <c r="G16" i="8" s="1"/>
  <c r="R14" i="3"/>
  <c r="G14" i="8" s="1"/>
  <c r="R13" i="3"/>
  <c r="G13" i="8" s="1"/>
  <c r="R12" i="3"/>
  <c r="BE42" i="7"/>
  <c r="BG42" i="7" s="1"/>
  <c r="BG41" i="7"/>
  <c r="BG40" i="7"/>
  <c r="BG24" i="7"/>
  <c r="BE61" i="7"/>
  <c r="BG61" i="7" s="1"/>
  <c r="BE69" i="7"/>
  <c r="BG69" i="7" s="1"/>
  <c r="Q61" i="7"/>
  <c r="BE31" i="7"/>
  <c r="BG31" i="7" s="1"/>
  <c r="BG23" i="7"/>
  <c r="BE48" i="7"/>
  <c r="BG48" i="7" s="1"/>
  <c r="AZ8" i="7"/>
  <c r="BF8" i="7" s="1"/>
  <c r="BE13" i="7"/>
  <c r="BG13" i="7" s="1"/>
  <c r="Q57" i="7"/>
  <c r="Q23" i="7"/>
  <c r="Q30" i="7"/>
  <c r="BE21" i="7"/>
  <c r="BG21" i="7" s="1"/>
  <c r="Q41" i="7"/>
  <c r="Q70" i="7"/>
  <c r="BE26" i="7"/>
  <c r="BG26" i="7" s="1"/>
  <c r="Q22" i="7"/>
  <c r="BA20" i="7"/>
  <c r="R79" i="3"/>
  <c r="G79" i="8" s="1"/>
  <c r="R75" i="3"/>
  <c r="R73" i="3"/>
  <c r="R72" i="3"/>
  <c r="G72" i="8" s="1"/>
  <c r="R71" i="3"/>
  <c r="G71" i="8" s="1"/>
  <c r="R69" i="3"/>
  <c r="G69" i="8" s="1"/>
  <c r="R68" i="3"/>
  <c r="G68" i="8" s="1"/>
  <c r="R66" i="3"/>
  <c r="G66" i="8" s="1"/>
  <c r="R65" i="3"/>
  <c r="G65" i="8" s="1"/>
  <c r="R63" i="3"/>
  <c r="G63" i="8" s="1"/>
  <c r="R62" i="3"/>
  <c r="G62" i="8" s="1"/>
  <c r="R61" i="3"/>
  <c r="G61" i="8" s="1"/>
  <c r="R60" i="3"/>
  <c r="G60" i="8" s="1"/>
  <c r="R58" i="3"/>
  <c r="G58" i="8" s="1"/>
  <c r="R57" i="3"/>
  <c r="G57" i="8" s="1"/>
  <c r="R56" i="3"/>
  <c r="G56" i="8" s="1"/>
  <c r="R54" i="3"/>
  <c r="G54" i="8" s="1"/>
  <c r="R53" i="3"/>
  <c r="G53" i="8" s="1"/>
  <c r="R51" i="3"/>
  <c r="G51" i="8" s="1"/>
  <c r="R49" i="3"/>
  <c r="G49" i="8" s="1"/>
  <c r="R48" i="3"/>
  <c r="G48" i="8" s="1"/>
  <c r="R47" i="3"/>
  <c r="G47" i="8" s="1"/>
  <c r="R46" i="3"/>
  <c r="G46" i="8" s="1"/>
  <c r="R45" i="3"/>
  <c r="G45" i="8" s="1"/>
  <c r="R44" i="3"/>
  <c r="G44" i="8" s="1"/>
  <c r="R43" i="3"/>
  <c r="G43" i="8" s="1"/>
  <c r="R42" i="3"/>
  <c r="G42" i="8" s="1"/>
  <c r="R41" i="3"/>
  <c r="G41" i="8" s="1"/>
  <c r="R39" i="3"/>
  <c r="G39" i="8" s="1"/>
  <c r="R38" i="3"/>
  <c r="R34" i="3"/>
  <c r="G34" i="8" s="1"/>
  <c r="R33" i="3"/>
  <c r="G33" i="8" s="1"/>
  <c r="R32" i="3"/>
  <c r="G32" i="8" s="1"/>
  <c r="R29" i="3"/>
  <c r="G29" i="8" s="1"/>
  <c r="R28" i="3"/>
  <c r="G28" i="8" s="1"/>
  <c r="R27" i="3"/>
  <c r="G27" i="8" s="1"/>
  <c r="R26" i="3"/>
  <c r="G26" i="8" s="1"/>
  <c r="R25" i="3"/>
  <c r="G25" i="8" s="1"/>
  <c r="R24" i="3"/>
  <c r="G24" i="8" s="1"/>
  <c r="R22" i="3"/>
  <c r="G22" i="8" s="1"/>
  <c r="R21" i="3"/>
  <c r="G21" i="8" s="1"/>
  <c r="R17" i="3"/>
  <c r="G17" i="8" s="1"/>
  <c r="R10" i="3"/>
  <c r="G10" i="8" s="1"/>
  <c r="R9" i="3"/>
  <c r="G9" i="8" s="1"/>
  <c r="R8" i="3"/>
  <c r="G8" i="8" s="1"/>
  <c r="R81" i="3"/>
  <c r="G81" i="8" s="1"/>
  <c r="R80" i="3"/>
  <c r="G80" i="8" s="1"/>
  <c r="R78" i="3"/>
  <c r="G78" i="8" s="1"/>
  <c r="R77" i="3"/>
  <c r="G77" i="8" s="1"/>
  <c r="R76" i="3"/>
  <c r="G76" i="8" s="1"/>
  <c r="R74" i="3"/>
  <c r="G74" i="8" s="1"/>
  <c r="R70" i="3"/>
  <c r="G70" i="8" s="1"/>
  <c r="R67" i="3"/>
  <c r="G67" i="8" s="1"/>
  <c r="R59" i="3"/>
  <c r="G59" i="8" s="1"/>
  <c r="R52" i="3"/>
  <c r="G52" i="8" s="1"/>
  <c r="R55" i="3"/>
  <c r="G55" i="8" s="1"/>
  <c r="R50" i="3"/>
  <c r="G50" i="8" s="1"/>
  <c r="R40" i="3"/>
  <c r="G40" i="8" s="1"/>
  <c r="R37" i="3"/>
  <c r="G37" i="8" s="1"/>
  <c r="R36" i="3"/>
  <c r="G36" i="8" s="1"/>
  <c r="R35" i="3"/>
  <c r="G35" i="8" s="1"/>
  <c r="R82" i="3"/>
  <c r="G82" i="8" s="1"/>
  <c r="R31" i="3"/>
  <c r="G31" i="8" s="1"/>
  <c r="R30" i="3"/>
  <c r="G30" i="8" s="1"/>
  <c r="R23" i="3"/>
  <c r="G23" i="8" s="1"/>
  <c r="R20" i="3"/>
  <c r="G20" i="8" s="1"/>
  <c r="R19" i="3"/>
  <c r="G19" i="8" s="1"/>
  <c r="R18" i="3"/>
  <c r="G18" i="8" s="1"/>
  <c r="BG40" i="6"/>
  <c r="BG77" i="6"/>
  <c r="BG30" i="6"/>
  <c r="BG39" i="6"/>
  <c r="BG54" i="6"/>
  <c r="BG59" i="6"/>
  <c r="BG43" i="6"/>
  <c r="BG38" i="6"/>
  <c r="BG64" i="6"/>
  <c r="BG78" i="6"/>
  <c r="BG63" i="6"/>
  <c r="F6" i="4"/>
  <c r="G15" i="1"/>
  <c r="S48" i="3"/>
  <c r="C80" i="1"/>
  <c r="G80" i="1" s="1"/>
  <c r="S27" i="3"/>
  <c r="S77" i="3"/>
  <c r="S75" i="3"/>
  <c r="S13" i="3"/>
  <c r="G6" i="2"/>
  <c r="S80" i="3"/>
  <c r="K8" i="7"/>
  <c r="W8" i="7"/>
  <c r="BE20" i="7"/>
  <c r="BG20" i="7" s="1"/>
  <c r="BE18" i="7"/>
  <c r="BG18" i="7" s="1"/>
  <c r="AY8" i="7"/>
  <c r="BE19" i="7"/>
  <c r="BG19" i="7" s="1"/>
  <c r="G6" i="5"/>
  <c r="C48" i="1"/>
  <c r="G48" i="1" s="1"/>
  <c r="BE80" i="7"/>
  <c r="BG80" i="7" s="1"/>
  <c r="J6" i="3"/>
  <c r="S81" i="3"/>
  <c r="C79" i="1"/>
  <c r="G79" i="1" s="1"/>
  <c r="S79" i="3"/>
  <c r="C78" i="1"/>
  <c r="G78" i="1" s="1"/>
  <c r="S78" i="3"/>
  <c r="C76" i="1"/>
  <c r="G76" i="1" s="1"/>
  <c r="S76" i="3"/>
  <c r="C74" i="1"/>
  <c r="G74" i="1" s="1"/>
  <c r="S74" i="3"/>
  <c r="C73" i="1"/>
  <c r="G73" i="1" s="1"/>
  <c r="S73" i="3"/>
  <c r="C71" i="1"/>
  <c r="G71" i="1" s="1"/>
  <c r="S71" i="3"/>
  <c r="C70" i="1"/>
  <c r="G70" i="1" s="1"/>
  <c r="S70" i="3"/>
  <c r="C69" i="1"/>
  <c r="G69" i="1" s="1"/>
  <c r="S69" i="3"/>
  <c r="C67" i="1"/>
  <c r="G67" i="1" s="1"/>
  <c r="S67" i="3"/>
  <c r="C66" i="1"/>
  <c r="G66" i="1" s="1"/>
  <c r="S66" i="3"/>
  <c r="C65" i="1"/>
  <c r="G65" i="1" s="1"/>
  <c r="S65" i="3"/>
  <c r="C64" i="1"/>
  <c r="G64" i="1" s="1"/>
  <c r="S64" i="3"/>
  <c r="C62" i="1"/>
  <c r="G62" i="1" s="1"/>
  <c r="S62" i="3"/>
  <c r="C61" i="1"/>
  <c r="G61" i="1" s="1"/>
  <c r="S61" i="3"/>
  <c r="C60" i="1"/>
  <c r="G60" i="1" s="1"/>
  <c r="S60" i="3"/>
  <c r="C59" i="1"/>
  <c r="G59" i="1" s="1"/>
  <c r="S59" i="3"/>
  <c r="C58" i="1"/>
  <c r="G58" i="1" s="1"/>
  <c r="S58" i="3"/>
  <c r="C56" i="1"/>
  <c r="G56" i="1" s="1"/>
  <c r="S56" i="3"/>
  <c r="C55" i="1"/>
  <c r="G55" i="1" s="1"/>
  <c r="S55" i="3"/>
  <c r="C54" i="1"/>
  <c r="G54" i="1" s="1"/>
  <c r="S54" i="3"/>
  <c r="C53" i="1"/>
  <c r="G53" i="1" s="1"/>
  <c r="S53" i="3"/>
  <c r="C51" i="1"/>
  <c r="G51" i="1" s="1"/>
  <c r="S51" i="3"/>
  <c r="C50" i="1"/>
  <c r="G50" i="1" s="1"/>
  <c r="S50" i="3"/>
  <c r="C49" i="1"/>
  <c r="G49" i="1" s="1"/>
  <c r="S49" i="3"/>
  <c r="C47" i="1"/>
  <c r="G47" i="1" s="1"/>
  <c r="S47" i="3"/>
  <c r="C46" i="1"/>
  <c r="G46" i="1" s="1"/>
  <c r="S46" i="3"/>
  <c r="C45" i="1"/>
  <c r="G45" i="1" s="1"/>
  <c r="S45" i="3"/>
  <c r="C44" i="1"/>
  <c r="G44" i="1" s="1"/>
  <c r="S44" i="3"/>
  <c r="C42" i="1"/>
  <c r="G42" i="1" s="1"/>
  <c r="S42" i="3"/>
  <c r="C41" i="1"/>
  <c r="G41" i="1" s="1"/>
  <c r="S41" i="3"/>
  <c r="C40" i="1"/>
  <c r="G40" i="1" s="1"/>
  <c r="S40" i="3"/>
  <c r="C39" i="1"/>
  <c r="G39" i="1" s="1"/>
  <c r="S39" i="3"/>
  <c r="C38" i="1"/>
  <c r="G38" i="1" s="1"/>
  <c r="S38" i="3"/>
  <c r="S37" i="3"/>
  <c r="C36" i="1"/>
  <c r="G36" i="1" s="1"/>
  <c r="S36" i="3"/>
  <c r="C35" i="1"/>
  <c r="G35" i="1" s="1"/>
  <c r="S35" i="3"/>
  <c r="C32" i="1"/>
  <c r="G32" i="1" s="1"/>
  <c r="S32" i="3"/>
  <c r="C82" i="1"/>
  <c r="G82" i="1" s="1"/>
  <c r="S82" i="3"/>
  <c r="C31" i="1"/>
  <c r="G31" i="1" s="1"/>
  <c r="S31" i="3"/>
  <c r="C30" i="1"/>
  <c r="G30" i="1" s="1"/>
  <c r="S30" i="3"/>
  <c r="C29" i="1"/>
  <c r="G29" i="1" s="1"/>
  <c r="S29" i="3"/>
  <c r="C28" i="1"/>
  <c r="G28" i="1" s="1"/>
  <c r="S28" i="3"/>
  <c r="C27" i="1"/>
  <c r="G27" i="1" s="1"/>
  <c r="C26" i="1"/>
  <c r="G26" i="1" s="1"/>
  <c r="S26" i="3"/>
  <c r="C25" i="1"/>
  <c r="G25" i="1" s="1"/>
  <c r="S25" i="3"/>
  <c r="C23" i="1"/>
  <c r="G23" i="1" s="1"/>
  <c r="S23" i="3"/>
  <c r="C22" i="1"/>
  <c r="G22" i="1" s="1"/>
  <c r="S22" i="3"/>
  <c r="C21" i="1"/>
  <c r="G21" i="1" s="1"/>
  <c r="S21" i="3"/>
  <c r="C20" i="1"/>
  <c r="G20" i="1" s="1"/>
  <c r="S20" i="3"/>
  <c r="C19" i="1"/>
  <c r="G19" i="1" s="1"/>
  <c r="S19" i="3"/>
  <c r="C18" i="1"/>
  <c r="S18" i="3"/>
  <c r="C17" i="1"/>
  <c r="G17" i="1" s="1"/>
  <c r="S17" i="3"/>
  <c r="C14" i="1"/>
  <c r="S14" i="3"/>
  <c r="C12" i="1"/>
  <c r="G12" i="1" s="1"/>
  <c r="S12" i="3"/>
  <c r="C11" i="1"/>
  <c r="G11" i="1" s="1"/>
  <c r="S11" i="3"/>
  <c r="C9" i="1"/>
  <c r="G9" i="1" s="1"/>
  <c r="S9" i="3"/>
  <c r="C8" i="1"/>
  <c r="G8" i="1" s="1"/>
  <c r="S8" i="3"/>
  <c r="C7" i="1"/>
  <c r="C72" i="1"/>
  <c r="G72" i="1" s="1"/>
  <c r="S72" i="3"/>
  <c r="C68" i="1"/>
  <c r="G68" i="1" s="1"/>
  <c r="S68" i="3"/>
  <c r="C63" i="1"/>
  <c r="G63" i="1" s="1"/>
  <c r="S63" i="3"/>
  <c r="C57" i="1"/>
  <c r="G57" i="1" s="1"/>
  <c r="S57" i="3"/>
  <c r="C52" i="1"/>
  <c r="G52" i="1" s="1"/>
  <c r="S52" i="3"/>
  <c r="C43" i="1"/>
  <c r="G43" i="1" s="1"/>
  <c r="S43" i="3"/>
  <c r="C34" i="1"/>
  <c r="G34" i="1" s="1"/>
  <c r="S34" i="3"/>
  <c r="C33" i="1"/>
  <c r="G33" i="1" s="1"/>
  <c r="S33" i="3"/>
  <c r="C24" i="1"/>
  <c r="G24" i="1" s="1"/>
  <c r="S24" i="3"/>
  <c r="C16" i="1"/>
  <c r="G16" i="1" s="1"/>
  <c r="S16" i="3"/>
  <c r="C10" i="1"/>
  <c r="G10" i="1" s="1"/>
  <c r="S10" i="3"/>
  <c r="F15" i="1"/>
  <c r="Q34" i="7"/>
  <c r="BF34" i="7"/>
  <c r="Q39" i="7"/>
  <c r="BF39" i="7"/>
  <c r="O6" i="3"/>
  <c r="C13" i="1"/>
  <c r="G13" i="1" s="1"/>
  <c r="BE28" i="7"/>
  <c r="BG28" i="7" s="1"/>
  <c r="Q6" i="3"/>
  <c r="BE45" i="7"/>
  <c r="O8" i="7"/>
  <c r="Q8" i="7" s="1"/>
  <c r="Q25" i="7"/>
  <c r="BF25" i="7"/>
  <c r="BG25" i="7" s="1"/>
  <c r="C77" i="1"/>
  <c r="G77" i="1" s="1"/>
  <c r="C75" i="1"/>
  <c r="G75" i="1" s="1"/>
  <c r="Q44" i="7"/>
  <c r="BF44" i="7"/>
  <c r="BG44" i="7" s="1"/>
  <c r="BF47" i="7"/>
  <c r="BG47" i="7" s="1"/>
  <c r="Q47" i="7"/>
  <c r="BF54" i="7"/>
  <c r="BG54" i="7" s="1"/>
  <c r="Q54" i="7"/>
  <c r="Q63" i="7"/>
  <c r="BF63" i="7"/>
  <c r="Q65" i="7"/>
  <c r="BF65" i="7"/>
  <c r="Q66" i="7"/>
  <c r="BF66" i="7"/>
  <c r="Q68" i="7"/>
  <c r="BF68" i="7"/>
  <c r="BF43" i="7"/>
  <c r="BG43" i="7" s="1"/>
  <c r="Q43" i="7"/>
  <c r="BF45" i="7"/>
  <c r="Q45" i="7"/>
  <c r="BF49" i="7"/>
  <c r="Q49" i="7"/>
  <c r="Q64" i="7"/>
  <c r="BF64" i="7"/>
  <c r="Q71" i="7"/>
  <c r="BF71" i="7"/>
  <c r="Q77" i="7"/>
  <c r="BF77" i="7"/>
  <c r="BF82" i="7"/>
  <c r="Q82" i="7"/>
  <c r="BF84" i="7"/>
  <c r="BG84" i="7" s="1"/>
  <c r="Q84" i="7"/>
  <c r="BE71" i="7"/>
  <c r="BE65" i="7"/>
  <c r="BE63" i="7"/>
  <c r="BE39" i="7"/>
  <c r="BE37" i="7"/>
  <c r="BG37" i="7" s="1"/>
  <c r="BE78" i="7"/>
  <c r="BG78" i="7" s="1"/>
  <c r="BE76" i="7"/>
  <c r="BG76" i="7" s="1"/>
  <c r="BE60" i="7"/>
  <c r="BG60" i="7" s="1"/>
  <c r="BE34" i="7"/>
  <c r="BE32" i="7"/>
  <c r="BG32" i="7" s="1"/>
  <c r="BE29" i="7"/>
  <c r="BG29" i="7" s="1"/>
  <c r="BE15" i="7"/>
  <c r="BG15" i="7" s="1"/>
  <c r="BE12" i="7"/>
  <c r="BG12" i="7" s="1"/>
  <c r="BE10" i="7"/>
  <c r="BG10" i="7" s="1"/>
  <c r="BG22" i="7"/>
  <c r="BE82" i="7"/>
  <c r="BE77" i="7"/>
  <c r="BE68" i="7"/>
  <c r="BE66" i="7"/>
  <c r="BE64" i="7"/>
  <c r="BE58" i="7"/>
  <c r="BG58" i="7" s="1"/>
  <c r="BE49" i="7"/>
  <c r="BE38" i="7"/>
  <c r="BG38" i="7" s="1"/>
  <c r="BE79" i="7"/>
  <c r="BG79" i="7" s="1"/>
  <c r="BE62" i="7"/>
  <c r="BG62" i="7" s="1"/>
  <c r="BE33" i="7"/>
  <c r="BG33" i="7" s="1"/>
  <c r="BE30" i="7"/>
  <c r="BG30" i="7" s="1"/>
  <c r="BE27" i="7"/>
  <c r="BG27" i="7" s="1"/>
  <c r="BE17" i="7"/>
  <c r="BG17" i="7" s="1"/>
  <c r="BE14" i="7"/>
  <c r="BG14" i="7" s="1"/>
  <c r="BE11" i="7"/>
  <c r="BG11" i="7" s="1"/>
  <c r="BE83" i="7"/>
  <c r="BG83" i="7" s="1"/>
  <c r="BE75" i="7"/>
  <c r="BG75" i="7" s="1"/>
  <c r="BE74" i="7"/>
  <c r="BG74" i="7" s="1"/>
  <c r="BE73" i="7"/>
  <c r="BG73" i="7" s="1"/>
  <c r="BE72" i="7"/>
  <c r="BG72" i="7" s="1"/>
  <c r="BE67" i="7"/>
  <c r="BG67" i="7" s="1"/>
  <c r="BE56" i="7"/>
  <c r="BG56" i="7" s="1"/>
  <c r="BE36" i="7"/>
  <c r="BG36" i="7" s="1"/>
  <c r="BE81" i="7"/>
  <c r="BG81" i="7" s="1"/>
  <c r="BE59" i="7"/>
  <c r="BG59" i="7" s="1"/>
  <c r="BE53" i="7"/>
  <c r="BG53" i="7" s="1"/>
  <c r="BE52" i="7"/>
  <c r="BG52" i="7" s="1"/>
  <c r="BE51" i="7"/>
  <c r="BG51" i="7" s="1"/>
  <c r="BE50" i="7"/>
  <c r="BG50" i="7" s="1"/>
  <c r="BE46" i="7"/>
  <c r="BG46" i="7" s="1"/>
  <c r="F64" i="1"/>
  <c r="F7" i="1"/>
  <c r="F11" i="1" l="1"/>
  <c r="F14" i="1"/>
  <c r="F75" i="1"/>
  <c r="G75" i="8"/>
  <c r="F73" i="1"/>
  <c r="G73" i="8"/>
  <c r="F38" i="1"/>
  <c r="G38" i="8"/>
  <c r="F12" i="1"/>
  <c r="G12" i="8"/>
  <c r="C6" i="8"/>
  <c r="H6" i="8" s="1"/>
  <c r="BA8" i="7"/>
  <c r="BG8" i="7" s="1"/>
  <c r="G14" i="1"/>
  <c r="C6" i="1"/>
  <c r="G7" i="1"/>
  <c r="BG34" i="7"/>
  <c r="F22" i="1"/>
  <c r="F58" i="1"/>
  <c r="F63" i="1"/>
  <c r="F65" i="1"/>
  <c r="F21" i="1"/>
  <c r="F71" i="1"/>
  <c r="F23" i="1"/>
  <c r="F26" i="1"/>
  <c r="F44" i="1"/>
  <c r="F48" i="1"/>
  <c r="F35" i="1"/>
  <c r="F77" i="1"/>
  <c r="F67" i="1"/>
  <c r="F54" i="1"/>
  <c r="F43" i="1"/>
  <c r="F79" i="1"/>
  <c r="F69" i="1"/>
  <c r="F62" i="1"/>
  <c r="F60" i="1"/>
  <c r="F39" i="1"/>
  <c r="F17" i="1"/>
  <c r="BG49" i="7"/>
  <c r="BG39" i="7"/>
  <c r="F82" i="1"/>
  <c r="F70" i="1"/>
  <c r="F53" i="1"/>
  <c r="F25" i="1"/>
  <c r="G18" i="1"/>
  <c r="F20" i="1"/>
  <c r="F31" i="1"/>
  <c r="F41" i="1"/>
  <c r="F45" i="1"/>
  <c r="F66" i="1"/>
  <c r="BG82" i="7"/>
  <c r="F68" i="1"/>
  <c r="F57" i="1"/>
  <c r="F56" i="1"/>
  <c r="F52" i="1"/>
  <c r="F51" i="1"/>
  <c r="F47" i="1"/>
  <c r="F46" i="1"/>
  <c r="F42" i="1"/>
  <c r="F37" i="1"/>
  <c r="F34" i="1"/>
  <c r="F29" i="1"/>
  <c r="F28" i="1"/>
  <c r="F24" i="1"/>
  <c r="F16" i="1"/>
  <c r="F10" i="1"/>
  <c r="F8" i="1"/>
  <c r="F18" i="1"/>
  <c r="F76" i="1"/>
  <c r="F50" i="1"/>
  <c r="F13" i="1"/>
  <c r="F59" i="1"/>
  <c r="F78" i="1"/>
  <c r="F74" i="1"/>
  <c r="F72" i="1"/>
  <c r="F61" i="1"/>
  <c r="F55" i="1"/>
  <c r="F49" i="1"/>
  <c r="F40" i="1"/>
  <c r="F36" i="1"/>
  <c r="F33" i="1"/>
  <c r="F27" i="1"/>
  <c r="F9" i="1"/>
  <c r="F81" i="1"/>
  <c r="F80" i="1"/>
  <c r="F32" i="1"/>
  <c r="F30" i="1"/>
  <c r="F19" i="1"/>
  <c r="R6" i="3"/>
  <c r="BG63" i="7"/>
  <c r="BG71" i="7"/>
  <c r="BG64" i="7"/>
  <c r="BG66" i="7"/>
  <c r="BG68" i="7"/>
  <c r="BG6" i="6"/>
  <c r="S6" i="3"/>
  <c r="BG77" i="7"/>
  <c r="BG45" i="7"/>
  <c r="BG65" i="7"/>
  <c r="BE8" i="7"/>
  <c r="G6" i="8" l="1"/>
  <c r="F6" i="1"/>
  <c r="G6" i="1"/>
</calcChain>
</file>

<file path=xl/comments1.xml><?xml version="1.0" encoding="utf-8"?>
<comments xmlns="http://schemas.openxmlformats.org/spreadsheetml/2006/main">
  <authors>
    <author>WINDOWS</author>
  </authors>
  <commentList>
    <comment ref="AA11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ชดใช้ค่าสินไหม</t>
        </r>
      </text>
    </comment>
    <comment ref="AA66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ค่าเสียหายจาก
คำพิพากษาศาล</t>
        </r>
      </text>
    </comment>
  </commentList>
</comments>
</file>

<file path=xl/sharedStrings.xml><?xml version="1.0" encoding="utf-8"?>
<sst xmlns="http://schemas.openxmlformats.org/spreadsheetml/2006/main" count="861" uniqueCount="138">
  <si>
    <t>ลำดับที่</t>
  </si>
  <si>
    <t>จังหวัด</t>
  </si>
  <si>
    <t>งบประมาณ</t>
  </si>
  <si>
    <t>ผลการเบิกจ่าย</t>
  </si>
  <si>
    <t>คงเหลือ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</si>
  <si>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</si>
  <si>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</si>
  <si>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</si>
  <si>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</si>
  <si>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</si>
  <si>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</si>
  <si>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</si>
  <si>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</si>
  <si>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</si>
  <si>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</si>
  <si>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</si>
  <si>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</si>
  <si>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</si>
  <si>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</si>
  <si>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</si>
  <si>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</si>
  <si>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</si>
  <si>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</si>
  <si>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</si>
  <si>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</si>
  <si>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</si>
  <si>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</si>
  <si>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</si>
  <si>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</si>
  <si>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</si>
  <si>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</si>
  <si>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</si>
  <si>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</si>
  <si>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</si>
  <si>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</si>
  <si>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</si>
  <si>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</si>
  <si>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</si>
  <si>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</si>
  <si>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</si>
  <si>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</si>
  <si>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</si>
  <si>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</si>
  <si>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</si>
  <si>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</si>
  <si>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</si>
  <si>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</si>
  <si>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</si>
  <si>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</si>
  <si>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</si>
  <si>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</si>
  <si>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</si>
  <si>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</si>
  <si>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</si>
  <si>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</si>
  <si>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</si>
  <si>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</si>
  <si>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</si>
  <si>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</si>
  <si>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</si>
  <si>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</si>
  <si>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</si>
  <si>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</si>
  <si>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</si>
  <si>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</si>
  <si>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</si>
  <si>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</si>
  <si>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</si>
  <si>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</si>
  <si>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</si>
  <si>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</si>
  <si>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</si>
  <si>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</si>
  <si>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</si>
  <si>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</si>
  <si>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</si>
  <si>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</si>
  <si>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</si>
  <si>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</si>
  <si>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</si>
  <si>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บึงกาฬ</t>
  </si>
  <si>
    <t>คชจ.ในการดำเนินงานตามแผนพัฒนาชนบทเชิงพื้นที่ประยุกต์ฯ (1500210016700001)</t>
  </si>
  <si>
    <t>รวมทั้งสิ้น</t>
  </si>
  <si>
    <t xml:space="preserve">งบกลาง </t>
  </si>
  <si>
    <t>ค่าใช้จ่ายในการสนับสนุนจังหวัดในการดำเนินการจัดพิธีถวายดอกไม้จันทน์ฯ</t>
  </si>
  <si>
    <t>งบลงทุน</t>
  </si>
  <si>
    <t>คชจ.ในการสนับสนุนการขับเคลื่อนการดำเนินงานเขตพัฒนาเศรษฐกิจพิเศษ (1500213030700001)</t>
  </si>
  <si>
    <t>งบประมาณของสำนักงานปลัดกระทรวงมหาดไทย (1502)</t>
  </si>
  <si>
    <t>ผลการเบิกจ่ายงบประมาณรายจ่ายประจำปีงบประมาณ พ.ศ. 2561 จากระบบ GFMIS</t>
  </si>
  <si>
    <t>งบดำเนินงาน แผนงานยุทธศาสตร์พัฒนาประสิทธิภาพการบริหารราชการแผ่นดิน (1500256039000000)</t>
  </si>
  <si>
    <t>งบดำเนินงาน แผนงานพื้นฐานด้านการปรับสมดุลและพัฒนาระบบบริหารจัดการภาครัฐ (1500258003000000)</t>
  </si>
  <si>
    <t>งบดำเนินงาน แผนงานบุคลากรภาครัฐ (1500257023000000)</t>
  </si>
  <si>
    <t>งบดำเนินงาน</t>
  </si>
  <si>
    <t>รวมงบดำเนินงาน</t>
  </si>
  <si>
    <t>งบอุดหนุน</t>
  </si>
  <si>
    <t>งบรายจ่ายอื่น</t>
  </si>
  <si>
    <t>รวมงบรายจ่ายอื่น</t>
  </si>
  <si>
    <t>คชจ.ในการจัดงานวันเด็กและเยาวชนแห่งชาติ (1500258003500001) /คชจ.ในการส่งเสริมศิลปวัฒนธรรมและประเพณีชายแดนใต้ (1500258003500004)</t>
  </si>
  <si>
    <t>คชจ.ในการขับเคลื่อนการสร้างคุณธรรม จริยธรรมและความโปร่งใสของกระทรวงมหาดไทย (1500250028700155)</t>
  </si>
  <si>
    <t>คชจ.ในการปลูกฝังจิตสำนึกจริยธรรมและคุณธรรมให้กับบุคลากรภาครัฐฯ (1500250028700156)</t>
  </si>
  <si>
    <t>คชจ.ในการบริหารงานศูนย์ดำรงธรรมกระทรวงมหาดไทย (1500256039700002)</t>
  </si>
  <si>
    <t>คชจ.ในการขับเคลื่อนการดำเนินงานป้องกันและแก้ไขปํญหา        ยาเสพติด (1500205029700079)</t>
  </si>
  <si>
    <t>งบบุคลากร ค่าตอบแทนพนักงานราชการ (1500257023000000)</t>
  </si>
  <si>
    <t>งบบุคลากร</t>
  </si>
  <si>
    <t>คชจ.ในการปลูกฝังสำนึกรักสามัคคีและเสริมสร้างความปรองดอง (1500202027700078)</t>
  </si>
  <si>
    <t>คชจ.ในการพัฒนาและขยายเครือข่ายประชาชนด้านการข่าว (1500258003700009)</t>
  </si>
  <si>
    <t xml:space="preserve">คชจ.ในการสนับสนุนการดำเนินการแก้ไขปัญหาความเดือดร้อนเร่งด่วนของประชาชนในจังหวัด </t>
  </si>
  <si>
    <t>เงินชดใช้ตามคำพิพากษาของศาล (1500258003700012)/       จ่ายคืนเงินค่าปรับตามคำพิพากษาของศาล (1500258003700013)</t>
  </si>
  <si>
    <t>ณ สิ้นเดือนมกราคม 2561</t>
  </si>
  <si>
    <t>รวมทั้งสิ้น
(งบบุคลากร+งบดำเนินงาน+งบลงทุน+งบอุดหนุน+งบรายจ่ายอื่น)</t>
  </si>
  <si>
    <t>ร้อยละการเบิกจ่าย</t>
  </si>
  <si>
    <t>ก่อหนี้ผูกพันในระบบ</t>
  </si>
  <si>
    <t>ผลการเบิกจ่ายงบประมาณรายจ่ายประจำปีงบประมาณ พ.ศ. 2562 จากระบบ GFMIS</t>
  </si>
  <si>
    <t>คชจ.เพื่อสนับสนุนการขับเคลื่อนประชาคมอาเซียน (1500266003700008)</t>
  </si>
  <si>
    <t>ข้อมูล ณ สิ้นเดือนพฤษภาคม 2562</t>
  </si>
  <si>
    <t xml:space="preserve"> </t>
  </si>
  <si>
    <t>ถอนคืนเงินรายได้แผ่นดินประเภทเงินค่าปรับให้กับ บริษัท บิ๊กโอธุรกิจ จำกัด ตามมิติ ค.ร.ม. เมื่อวันที่ 8 ส.ค. 2560 (150026003700088)</t>
  </si>
  <si>
    <t>รวมการใช้จ่าย</t>
  </si>
  <si>
    <t>ร้อยละการใช้จ่าย</t>
  </si>
  <si>
    <t>งบบุคลากร ค่าตอบแทนพนักงานราชการ (1500214723000000)</t>
  </si>
  <si>
    <t>งบดำเนินงาน แผนงานยุทธศาสตร์พัฒนาประสิทธิภาพการบริหารราชการแผ่นดิน (1500255739000000)</t>
  </si>
  <si>
    <t>งบดำเนินงาน แผนงานบุคลากรภาครัฐ (1500214723000000)</t>
  </si>
  <si>
    <t>งบดำเนินงาน แผนงานพื้นฐานด้านการปรับสมดุลและพัฒนาระบบบริหารจัดการภาครัฐ (1500256703000000)</t>
  </si>
  <si>
    <t>คชจ.ในการขับเคลื่อนหลักการทรงงานและการพัฒนาตามหลักปรัชญาของเศรษฐกิจพอเพียง (1500201747700001)</t>
  </si>
  <si>
    <t>คชจ.ในการขับเคลื่อนการดำเนินงานป้องกันและแก้ไขปัญหายาเสพติด (1500205729700001)</t>
  </si>
  <si>
    <t>คชจ. ในการปลูกฝังสำนึกรักสามัคคีและเสริมสร้างความปรองดอง (1500202727700001)</t>
  </si>
  <si>
    <t>คชจ.ในการสนับสนุนการขับเคลื่อนการดำเนินงานเขตพัฒนาเศรษฐกิจพิเศษ(1500218730700001)</t>
  </si>
  <si>
    <t>คชจ.ในการบริหารงานศูนย์ดำรงธรรมกระทรวงมหาดไทย (1500255739700014)</t>
  </si>
  <si>
    <t>คชจ.ในการสนับสนุนการดำเนินการแก้ไขปัญหาความเดือดร้อนเร่งด่วนฯ (1500255739700002)</t>
  </si>
  <si>
    <t>คชจ.ในการขับเคลื่อนการสร้างคุณธรรม จริยธรรม และความโปร่งใสฯ (1500253728700072)</t>
  </si>
  <si>
    <t>คชจ.ในการพัฒนาและขยายเครือข่ายประชาชนด้านการข่าว(1500256703700001)</t>
  </si>
  <si>
    <t>คชจ.ในการเจรจาและประชุมนานาชาติ (1500256703700020)</t>
  </si>
  <si>
    <t>คชจ.ในการจัดงานวันเด็กและเยาวชนแห่งชาติ (1500256703500004) /คชจ.ในการส่งเสริมศิลปวัฒนธรรมและประเพณีชายแดนใต้ (1500256703500001)</t>
  </si>
  <si>
    <t>คชจ.ในการปลูกจิตสำนึกจริยธรรมและคุณธรรมให้กับบุคลากรภาครัฐฯ (1500253728700001)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</si>
  <si>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</si>
  <si>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คชจ.ในการดำเนินการดูแลบำรุงรักษาและระบบรักษาความปลอดภัยพระราชวังสนามจันทร์ (1500255739700001)/ชดใช้ค่าสินไหมทดแทนบุคคลภายนอก (1500257039700084)/ค่าเสียหายตามคำพิพากษาศาล (150025739700083)</t>
  </si>
  <si>
    <t>ข้อมูล ณ สิ้นเดือนเมษายน 2563</t>
  </si>
  <si>
    <t>ผลการเบิกจ่ายงบประมาณรายจ่ายประจำปีงบประมาณ พ.ศ. 2563 จากระบบ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</si>
</sst>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b/>
      <sz val="13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141">
    <xf numFmtId="0" fontId="0" fillId="0" borderId="0" xfId="0"/>
    <xf numFmtId="187" fontId="2" fillId="2" borderId="1" xfId="0" applyNumberFormat="1" applyFont="1" applyFill="1" applyBorder="1" applyAlignment="1">
      <alignment horizontal="center"/>
    </xf>
    <xf numFmtId="187" fontId="2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87" fontId="1" fillId="4" borderId="1" xfId="1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187" fontId="1" fillId="4" borderId="0" xfId="0" applyNumberFormat="1" applyFont="1" applyFill="1" applyAlignment="1">
      <alignment horizontal="center"/>
    </xf>
    <xf numFmtId="187" fontId="2" fillId="4" borderId="0" xfId="1" applyFont="1" applyFill="1" applyAlignment="1">
      <alignment horizontal="center"/>
    </xf>
    <xf numFmtId="187" fontId="2" fillId="3" borderId="1" xfId="1" applyFont="1" applyFill="1" applyBorder="1" applyAlignment="1">
      <alignment horizontal="center"/>
    </xf>
    <xf numFmtId="187" fontId="2" fillId="2" borderId="1" xfId="1" applyFont="1" applyFill="1" applyBorder="1" applyAlignment="1">
      <alignment horizontal="center"/>
    </xf>
    <xf numFmtId="187" fontId="1" fillId="4" borderId="1" xfId="1" applyFont="1" applyFill="1" applyBorder="1" applyAlignment="1">
      <alignment horizontal="left"/>
    </xf>
    <xf numFmtId="187" fontId="1" fillId="4" borderId="0" xfId="1" applyFont="1" applyFill="1" applyAlignment="1">
      <alignment horizontal="left"/>
    </xf>
    <xf numFmtId="187" fontId="1" fillId="4" borderId="1" xfId="0" applyNumberFormat="1" applyFont="1" applyFill="1" applyBorder="1" applyAlignment="1">
      <alignment horizontal="left"/>
    </xf>
    <xf numFmtId="0" fontId="4" fillId="4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87" fontId="1" fillId="4" borderId="0" xfId="1" applyFont="1" applyFill="1" applyAlignment="1">
      <alignment horizontal="center"/>
    </xf>
    <xf numFmtId="187" fontId="8" fillId="3" borderId="1" xfId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187" fontId="8" fillId="2" borderId="1" xfId="0" applyNumberFormat="1" applyFont="1" applyFill="1" applyBorder="1" applyAlignment="1">
      <alignment horizontal="center"/>
    </xf>
    <xf numFmtId="43" fontId="10" fillId="4" borderId="0" xfId="0" applyNumberFormat="1" applyFont="1" applyFill="1" applyAlignment="1">
      <alignment horizontal="center"/>
    </xf>
    <xf numFmtId="187" fontId="8" fillId="2" borderId="1" xfId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87" fontId="8" fillId="2" borderId="2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187" fontId="10" fillId="0" borderId="0" xfId="1" applyFont="1" applyFill="1" applyAlignment="1">
      <alignment horizontal="center"/>
    </xf>
    <xf numFmtId="187" fontId="10" fillId="0" borderId="0" xfId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87" fontId="8" fillId="2" borderId="4" xfId="1" applyFont="1" applyFill="1" applyBorder="1" applyAlignment="1">
      <alignment horizontal="center"/>
    </xf>
    <xf numFmtId="187" fontId="8" fillId="0" borderId="0" xfId="1" applyFont="1" applyFill="1" applyBorder="1" applyAlignment="1">
      <alignment horizontal="center"/>
    </xf>
    <xf numFmtId="0" fontId="10" fillId="4" borderId="0" xfId="0" applyFont="1" applyFill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187" fontId="10" fillId="4" borderId="0" xfId="1" applyFont="1" applyFill="1" applyAlignment="1">
      <alignment horizontal="center"/>
    </xf>
    <xf numFmtId="49" fontId="12" fillId="4" borderId="0" xfId="1" applyNumberFormat="1" applyFont="1" applyFill="1" applyAlignment="1"/>
    <xf numFmtId="187" fontId="12" fillId="4" borderId="0" xfId="1" applyFont="1" applyFill="1" applyAlignment="1"/>
    <xf numFmtId="187" fontId="10" fillId="4" borderId="0" xfId="1" applyFont="1" applyFill="1"/>
    <xf numFmtId="187" fontId="10" fillId="0" borderId="0" xfId="1" applyFont="1" applyFill="1"/>
    <xf numFmtId="49" fontId="8" fillId="4" borderId="0" xfId="1" applyNumberFormat="1" applyFont="1" applyFill="1" applyAlignment="1">
      <alignment horizontal="center"/>
    </xf>
    <xf numFmtId="187" fontId="8" fillId="4" borderId="0" xfId="1" applyFont="1" applyFill="1" applyAlignment="1">
      <alignment horizontal="center"/>
    </xf>
    <xf numFmtId="187" fontId="10" fillId="4" borderId="0" xfId="1" applyFont="1" applyFill="1" applyBorder="1" applyAlignment="1">
      <alignment horizontal="center"/>
    </xf>
    <xf numFmtId="49" fontId="10" fillId="4" borderId="0" xfId="1" applyNumberFormat="1" applyFont="1" applyFill="1" applyAlignment="1">
      <alignment horizontal="center"/>
    </xf>
    <xf numFmtId="187" fontId="10" fillId="4" borderId="0" xfId="1" applyFont="1" applyFill="1" applyAlignment="1">
      <alignment horizontal="left"/>
    </xf>
    <xf numFmtId="43" fontId="9" fillId="0" borderId="0" xfId="0" applyNumberFormat="1" applyFont="1" applyFill="1" applyAlignment="1">
      <alignment horizontal="center"/>
    </xf>
    <xf numFmtId="187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87" fontId="8" fillId="0" borderId="0" xfId="1" applyFont="1" applyFill="1" applyAlignment="1">
      <alignment horizontal="center"/>
    </xf>
    <xf numFmtId="187" fontId="10" fillId="0" borderId="0" xfId="1" applyFont="1" applyFill="1" applyAlignment="1">
      <alignment horizontal="left"/>
    </xf>
    <xf numFmtId="187" fontId="10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187" fontId="9" fillId="0" borderId="0" xfId="1" applyFont="1" applyFill="1" applyBorder="1" applyAlignment="1">
      <alignment horizontal="center"/>
    </xf>
    <xf numFmtId="187" fontId="9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187" fontId="8" fillId="3" borderId="1" xfId="1" applyFont="1" applyFill="1" applyBorder="1" applyAlignment="1">
      <alignment horizontal="left" vertical="center" wrapText="1"/>
    </xf>
    <xf numFmtId="187" fontId="12" fillId="4" borderId="0" xfId="1" applyFont="1" applyFill="1" applyAlignment="1">
      <alignment horizontal="left"/>
    </xf>
    <xf numFmtId="49" fontId="8" fillId="3" borderId="5" xfId="1" applyNumberFormat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187" fontId="8" fillId="3" borderId="5" xfId="1" applyFont="1" applyFill="1" applyBorder="1" applyAlignment="1">
      <alignment horizontal="center" vertical="center"/>
    </xf>
    <xf numFmtId="187" fontId="8" fillId="3" borderId="7" xfId="1" applyFont="1" applyFill="1" applyBorder="1" applyAlignment="1">
      <alignment horizontal="center" vertical="center"/>
    </xf>
    <xf numFmtId="187" fontId="8" fillId="3" borderId="1" xfId="1" applyFont="1" applyFill="1" applyBorder="1" applyAlignment="1">
      <alignment horizontal="center" vertical="center" wrapText="1"/>
    </xf>
    <xf numFmtId="187" fontId="8" fillId="3" borderId="2" xfId="1" applyFont="1" applyFill="1" applyBorder="1" applyAlignment="1">
      <alignment horizontal="center" vertical="center" wrapText="1"/>
    </xf>
    <xf numFmtId="187" fontId="8" fillId="3" borderId="3" xfId="1" applyFont="1" applyFill="1" applyBorder="1" applyAlignment="1">
      <alignment horizontal="center" vertical="center" wrapText="1"/>
    </xf>
    <xf numFmtId="187" fontId="8" fillId="3" borderId="4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87" fontId="10" fillId="0" borderId="1" xfId="1" applyFont="1" applyFill="1" applyBorder="1" applyAlignment="1">
      <alignment horizontal="left"/>
    </xf>
    <xf numFmtId="187" fontId="10" fillId="0" borderId="1" xfId="1" applyFont="1" applyFill="1" applyBorder="1" applyAlignment="1">
      <alignment horizontal="center"/>
    </xf>
    <xf numFmtId="4" fontId="10" fillId="0" borderId="1" xfId="0" applyNumberFormat="1" applyFont="1" applyFill="1" applyBorder="1"/>
    <xf numFmtId="187" fontId="10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87" fontId="10" fillId="0" borderId="1" xfId="1" applyFont="1" applyFill="1" applyBorder="1"/>
    <xf numFmtId="187" fontId="8" fillId="0" borderId="1" xfId="0" applyNumberFormat="1" applyFont="1" applyFill="1" applyBorder="1" applyAlignment="1">
      <alignment horizontal="center"/>
    </xf>
    <xf numFmtId="187" fontId="8" fillId="0" borderId="1" xfId="1" applyFont="1" applyFill="1" applyBorder="1" applyAlignment="1">
      <alignment horizontal="center"/>
    </xf>
    <xf numFmtId="187" fontId="10" fillId="0" borderId="2" xfId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right"/>
    </xf>
    <xf numFmtId="49" fontId="10" fillId="0" borderId="1" xfId="1" applyNumberFormat="1" applyFont="1" applyFill="1" applyBorder="1" applyAlignment="1">
      <alignment horizontal="center"/>
    </xf>
    <xf numFmtId="187" fontId="10" fillId="5" borderId="1" xfId="1" applyFont="1" applyFill="1" applyBorder="1" applyAlignment="1">
      <alignment horizontal="center"/>
    </xf>
    <xf numFmtId="187" fontId="10" fillId="5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87"/>
  <sheetViews>
    <sheetView zoomScale="130" zoomScaleNormal="130" workbookViewId="0">
      <pane xSplit="2" ySplit="5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A2" sqref="A2:G2"/>
    </sheetView>
  </sheetViews>
  <sheetFormatPr defaultColWidth="9" defaultRowHeight="24" x14ac:dyDescent="0.55000000000000004"/>
  <cols>
    <col min="1" max="1" width="6.875" style="28" customWidth="1"/>
    <col min="2" max="2" width="23.125" style="44" bestFit="1" customWidth="1"/>
    <col min="3" max="3" width="24.5" style="28" bestFit="1" customWidth="1"/>
    <col min="4" max="4" width="28.625" style="28" bestFit="1" customWidth="1"/>
    <col min="5" max="6" width="24.5" style="28" bestFit="1" customWidth="1"/>
    <col min="7" max="7" width="16.375" style="28" bestFit="1" customWidth="1"/>
    <col min="8" max="8" width="13.375" style="28" bestFit="1" customWidth="1"/>
    <col min="9" max="16384" width="9" style="28"/>
  </cols>
  <sheetData>
    <row r="1" spans="1:8" s="42" customFormat="1" ht="27.75" x14ac:dyDescent="0.65">
      <c r="A1" s="75" t="s">
        <v>137</v>
      </c>
      <c r="B1" s="75"/>
      <c r="C1" s="75"/>
      <c r="D1" s="75"/>
      <c r="E1" s="75"/>
      <c r="F1" s="75"/>
      <c r="G1" s="75"/>
    </row>
    <row r="2" spans="1:8" s="42" customFormat="1" ht="27.75" x14ac:dyDescent="0.65">
      <c r="A2" s="75" t="s">
        <v>136</v>
      </c>
      <c r="B2" s="75"/>
      <c r="C2" s="75"/>
      <c r="D2" s="75"/>
      <c r="E2" s="75"/>
      <c r="F2" s="75"/>
      <c r="G2" s="75"/>
    </row>
    <row r="3" spans="1:8" s="42" customFormat="1" x14ac:dyDescent="0.55000000000000004">
      <c r="A3" s="43"/>
      <c r="B3" s="43"/>
      <c r="D3" s="42" t="s">
        <v>134</v>
      </c>
    </row>
    <row r="4" spans="1:8" ht="47.25" customHeight="1" x14ac:dyDescent="0.55000000000000004">
      <c r="A4" s="71" t="s">
        <v>0</v>
      </c>
      <c r="B4" s="71" t="s">
        <v>1</v>
      </c>
      <c r="C4" s="72" t="s">
        <v>109</v>
      </c>
      <c r="D4" s="73"/>
      <c r="E4" s="73"/>
      <c r="F4" s="73"/>
      <c r="G4" s="74"/>
    </row>
    <row r="5" spans="1:8" x14ac:dyDescent="0.55000000000000004">
      <c r="A5" s="71"/>
      <c r="B5" s="71"/>
      <c r="C5" s="29" t="s">
        <v>2</v>
      </c>
      <c r="D5" s="29" t="s">
        <v>111</v>
      </c>
      <c r="E5" s="29" t="s">
        <v>3</v>
      </c>
      <c r="F5" s="29" t="s">
        <v>4</v>
      </c>
      <c r="G5" s="29" t="s">
        <v>110</v>
      </c>
    </row>
    <row r="6" spans="1:8" x14ac:dyDescent="0.55000000000000004">
      <c r="A6" s="30" t="s">
        <v>82</v>
      </c>
      <c r="B6" s="66"/>
      <c r="C6" s="31">
        <f>SUM(C7:C82)</f>
        <v>1479106617.4000001</v>
      </c>
      <c r="D6" s="31">
        <f t="shared" ref="D6:F6" si="0">SUM(D7:D82)</f>
        <v>243930402.57000002</v>
      </c>
      <c r="E6" s="31">
        <f>SUM(E7:E82)</f>
        <v>578960345.06999993</v>
      </c>
      <c r="F6" s="31">
        <f t="shared" si="0"/>
        <v>656215869.75999999</v>
      </c>
      <c r="G6" s="31">
        <f t="shared" ref="G6:G37" si="1">SUM(E6*100/C6)</f>
        <v>39.142570133835697</v>
      </c>
      <c r="H6" s="32"/>
    </row>
    <row r="7" spans="1:8" s="70" customFormat="1" x14ac:dyDescent="0.55000000000000004">
      <c r="A7" s="57">
        <v>1</v>
      </c>
      <c r="B7" s="58" t="s">
        <v>5</v>
      </c>
      <c r="C7" s="56">
        <f>SUM('1.งบบุคลากร'!C7+'2.งบดำเนินงาน'!O7+'3.งบลงทุน'!C7+'4.งบอุดหนุน'!C7+'5.งบรายจ่ายอื่น'!BC7)</f>
        <v>9377580</v>
      </c>
      <c r="D7" s="56">
        <f>SUM('1.งบบุคลากร'!D7+'2.งบดำเนินงาน'!P7+'3.งบลงทุน'!D7+'4.งบอุดหนุน'!D7+'5.งบรายจ่ายอื่น'!BD7)</f>
        <v>589583.32999999996</v>
      </c>
      <c r="E7" s="56">
        <f>SUM('1.งบบุคลากร'!E7+'2.งบดำเนินงาน'!Q7+'3.งบลงทุน'!E7+'4.งบอุดหนุน'!E7+'5.งบรายจ่ายอื่น'!BE7)</f>
        <v>4518305.6500000004</v>
      </c>
      <c r="F7" s="56">
        <f>SUM('1.งบบุคลากร'!F7+'2.งบดำเนินงาน'!R7+'3.งบลงทุน'!F7+'4.งบอุดหนุน'!F7+'5.งบรายจ่ายอื่น'!BF7)</f>
        <v>4269691.0199999996</v>
      </c>
      <c r="G7" s="56">
        <f t="shared" si="1"/>
        <v>48.182000580107029</v>
      </c>
      <c r="H7" s="69"/>
    </row>
    <row r="8" spans="1:8" s="70" customFormat="1" x14ac:dyDescent="0.55000000000000004">
      <c r="A8" s="57">
        <v>2</v>
      </c>
      <c r="B8" s="58" t="s">
        <v>6</v>
      </c>
      <c r="C8" s="56">
        <f>SUM('1.งบบุคลากร'!C8+'2.งบดำเนินงาน'!O8+'3.งบลงทุน'!C8+'4.งบอุดหนุน'!C8+'5.งบรายจ่ายอื่น'!BC8)</f>
        <v>7799280</v>
      </c>
      <c r="D8" s="56">
        <f>SUM('1.งบบุคลากร'!D8+'2.งบดำเนินงาน'!P8+'3.งบลงทุน'!D8+'4.งบอุดหนุน'!D8+'5.งบรายจ่ายอื่น'!BD8)</f>
        <v>0</v>
      </c>
      <c r="E8" s="56">
        <f>SUM('1.งบบุคลากร'!E8+'2.งบดำเนินงาน'!Q8+'3.งบลงทุน'!E8+'4.งบอุดหนุน'!E8+'5.งบรายจ่ายอื่น'!BE8)</f>
        <v>3004497.27</v>
      </c>
      <c r="F8" s="56">
        <f>SUM('1.งบบุคลากร'!F8+'2.งบดำเนินงาน'!R8+'3.งบลงทุน'!F8+'4.งบอุดหนุน'!F8+'5.งบรายจ่ายอื่น'!BF8)</f>
        <v>4794782.7300000004</v>
      </c>
      <c r="G8" s="56">
        <f t="shared" si="1"/>
        <v>38.522751715542974</v>
      </c>
      <c r="H8" s="69"/>
    </row>
    <row r="9" spans="1:8" s="70" customFormat="1" x14ac:dyDescent="0.55000000000000004">
      <c r="A9" s="57">
        <v>3</v>
      </c>
      <c r="B9" s="58" t="s">
        <v>7</v>
      </c>
      <c r="C9" s="56">
        <f>SUM('1.งบบุคลากร'!C9+'2.งบดำเนินงาน'!O9+'3.งบลงทุน'!C9+'4.งบอุดหนุน'!C9+'5.งบรายจ่ายอื่น'!BC9)</f>
        <v>9008048</v>
      </c>
      <c r="D9" s="56">
        <f>SUM('1.งบบุคลากร'!D9+'2.งบดำเนินงาน'!P9+'3.งบลงทุน'!D9+'4.งบอุดหนุน'!D9+'5.งบรายจ่ายอื่น'!BD9)</f>
        <v>499780.8</v>
      </c>
      <c r="E9" s="56">
        <f>SUM('1.งบบุคลากร'!E9+'2.งบดำเนินงาน'!Q9+'3.งบลงทุน'!E9+'4.งบอุดหนุน'!E9+'5.งบรายจ่ายอื่น'!BE9)</f>
        <v>3049736.06</v>
      </c>
      <c r="F9" s="56">
        <f>SUM('1.งบบุคลากร'!F9+'2.งบดำเนินงาน'!R9+'3.งบลงทุน'!F9+'4.งบอุดหนุน'!F9+'5.งบรายจ่ายอื่น'!BF9)</f>
        <v>5458531.1400000006</v>
      </c>
      <c r="G9" s="56">
        <f t="shared" si="1"/>
        <v>33.855681719280362</v>
      </c>
      <c r="H9" s="69"/>
    </row>
    <row r="10" spans="1:8" s="70" customFormat="1" x14ac:dyDescent="0.55000000000000004">
      <c r="A10" s="57">
        <v>4</v>
      </c>
      <c r="B10" s="58" t="s">
        <v>8</v>
      </c>
      <c r="C10" s="56">
        <f>SUM('1.งบบุคลากร'!C10+'2.งบดำเนินงาน'!O10+'3.งบลงทุน'!C10+'4.งบอุดหนุน'!C10+'5.งบรายจ่ายอื่น'!BC10)</f>
        <v>73784798</v>
      </c>
      <c r="D10" s="56">
        <f>SUM('1.งบบุคลากร'!D10+'2.งบดำเนินงาน'!P10+'3.งบลงทุน'!D10+'4.งบอุดหนุน'!D10+'5.งบรายจ่ายอื่น'!BD10)</f>
        <v>60548549.780000001</v>
      </c>
      <c r="E10" s="56">
        <f>SUM('1.งบบุคลากร'!E10+'2.งบดำเนินงาน'!Q10+'3.งบลงทุน'!E10+'4.งบอุดหนุน'!E10+'5.งบรายจ่ายอื่น'!BE10)</f>
        <v>5779031.8399999999</v>
      </c>
      <c r="F10" s="56">
        <f>SUM('1.งบบุคลากร'!F10+'2.งบดำเนินงาน'!R10+'3.งบลงทุน'!F10+'4.งบอุดหนุน'!F10+'5.งบรายจ่ายอื่น'!BF10)</f>
        <v>7457216.3799999999</v>
      </c>
      <c r="G10" s="56">
        <f t="shared" si="1"/>
        <v>7.8322798146035444</v>
      </c>
      <c r="H10" s="69"/>
    </row>
    <row r="11" spans="1:8" s="70" customFormat="1" x14ac:dyDescent="0.55000000000000004">
      <c r="A11" s="57">
        <v>5</v>
      </c>
      <c r="B11" s="58" t="s">
        <v>9</v>
      </c>
      <c r="C11" s="56">
        <f>SUM('1.งบบุคลากร'!C11+'2.งบดำเนินงาน'!O11+'3.งบลงทุน'!C11+'4.งบอุดหนุน'!C11+'5.งบรายจ่ายอื่น'!BC11)</f>
        <v>10193850</v>
      </c>
      <c r="D11" s="56">
        <f>SUM('1.งบบุคลากร'!D11+'2.งบดำเนินงาน'!P11+'3.งบลงทุน'!D11+'4.งบอุดหนุน'!D11+'5.งบรายจ่ายอื่น'!BD11)</f>
        <v>589517</v>
      </c>
      <c r="E11" s="56">
        <f>SUM('1.งบบุคลากร'!E11+'2.งบดำเนินงาน'!Q11+'3.งบลงทุน'!E11+'4.งบอุดหนุน'!E11+'5.งบรายจ่ายอื่น'!BE11)</f>
        <v>4955897.13</v>
      </c>
      <c r="F11" s="56">
        <f>SUM('1.งบบุคลากร'!F11+'2.งบดำเนินงาน'!R11+'3.งบลงทุน'!F11+'4.งบอุดหนุน'!F11+'5.งบรายจ่ายอื่น'!BF11)</f>
        <v>4648435.87</v>
      </c>
      <c r="G11" s="56">
        <f t="shared" si="1"/>
        <v>48.616539678335464</v>
      </c>
      <c r="H11" s="69"/>
    </row>
    <row r="12" spans="1:8" s="70" customFormat="1" x14ac:dyDescent="0.55000000000000004">
      <c r="A12" s="57">
        <v>6</v>
      </c>
      <c r="B12" s="58" t="s">
        <v>10</v>
      </c>
      <c r="C12" s="56">
        <f>SUM('1.งบบุคลากร'!C12+'2.งบดำเนินงาน'!O12+'3.งบลงทุน'!C12+'4.งบอุดหนุน'!C12+'5.งบรายจ่ายอื่น'!BC12)</f>
        <v>9136490</v>
      </c>
      <c r="D12" s="56">
        <f>SUM('1.งบบุคลากร'!D12+'2.งบดำเนินงาน'!P12+'3.งบลงทุน'!D12+'4.งบอุดหนุน'!D12+'5.งบรายจ่ายอื่น'!BD12)</f>
        <v>495000</v>
      </c>
      <c r="E12" s="56">
        <f>SUM('1.งบบุคลากร'!E12+'2.งบดำเนินงาน'!Q12+'3.งบลงทุน'!E12+'4.งบอุดหนุน'!E12+'5.งบรายจ่ายอื่น'!BE12)</f>
        <v>3131601.49</v>
      </c>
      <c r="F12" s="56">
        <f>SUM('1.งบบุคลากร'!F12+'2.งบดำเนินงาน'!R12+'3.งบลงทุน'!F12+'4.งบอุดหนุน'!F12+'5.งบรายจ่ายอื่น'!BF12)</f>
        <v>5509888.5099999998</v>
      </c>
      <c r="G12" s="56">
        <f t="shared" si="1"/>
        <v>34.275761151164176</v>
      </c>
      <c r="H12" s="69"/>
    </row>
    <row r="13" spans="1:8" s="70" customFormat="1" x14ac:dyDescent="0.55000000000000004">
      <c r="A13" s="57">
        <v>7</v>
      </c>
      <c r="B13" s="58" t="s">
        <v>11</v>
      </c>
      <c r="C13" s="56">
        <f>SUM('1.งบบุคลากร'!C13+'2.งบดำเนินงาน'!O13+'3.งบลงทุน'!C13+'4.งบอุดหนุน'!C13+'5.งบรายจ่ายอื่น'!BC13)</f>
        <v>9970140</v>
      </c>
      <c r="D13" s="56">
        <f>SUM('1.งบบุคลากร'!D13+'2.งบดำเนินงาน'!P13+'3.งบลงทุน'!D13+'4.งบอุดหนุน'!D13+'5.งบรายจ่ายอื่น'!BD13)</f>
        <v>1951794</v>
      </c>
      <c r="E13" s="56">
        <f>SUM('1.งบบุคลากร'!E13+'2.งบดำเนินงาน'!Q13+'3.งบลงทุน'!E13+'4.งบอุดหนุน'!E13+'5.งบรายจ่ายอื่น'!BE13)</f>
        <v>4618227.63</v>
      </c>
      <c r="F13" s="56">
        <f>SUM('1.งบบุคลากร'!F13+'2.งบดำเนินงาน'!R13+'3.งบลงทุน'!F13+'4.งบอุดหนุน'!F13+'5.งบรายจ่ายอื่น'!BF13)</f>
        <v>3400118.37</v>
      </c>
      <c r="G13" s="56">
        <f t="shared" si="1"/>
        <v>46.320589580487336</v>
      </c>
      <c r="H13" s="69"/>
    </row>
    <row r="14" spans="1:8" s="70" customFormat="1" x14ac:dyDescent="0.55000000000000004">
      <c r="A14" s="57">
        <v>8</v>
      </c>
      <c r="B14" s="58" t="s">
        <v>12</v>
      </c>
      <c r="C14" s="56">
        <f>SUM('1.งบบุคลากร'!C14+'2.งบดำเนินงาน'!O14+'3.งบลงทุน'!C14+'4.งบอุดหนุน'!C14+'5.งบรายจ่ายอื่น'!BC14)</f>
        <v>16569693</v>
      </c>
      <c r="D14" s="56">
        <f>SUM('1.งบบุคลากร'!D14+'2.งบดำเนินงาน'!P14+'3.งบลงทุน'!D14+'4.งบอุดหนุน'!D14+'5.งบรายจ่ายอื่น'!BD14)</f>
        <v>6807200</v>
      </c>
      <c r="E14" s="56">
        <f>SUM('1.งบบุคลากร'!E14+'2.งบดำเนินงาน'!Q14+'3.งบลงทุน'!E14+'4.งบอุดหนุน'!E14+'5.งบรายจ่ายอื่น'!BE14)</f>
        <v>5099333.74</v>
      </c>
      <c r="F14" s="56">
        <f>SUM('1.งบบุคลากร'!F14+'2.งบดำเนินงาน'!R14+'3.งบลงทุน'!F14+'4.งบอุดหนุน'!F14+'5.งบรายจ่ายอื่น'!BF14)</f>
        <v>4663159.26</v>
      </c>
      <c r="G14" s="56">
        <f t="shared" si="1"/>
        <v>30.775064691904671</v>
      </c>
      <c r="H14" s="69"/>
    </row>
    <row r="15" spans="1:8" s="70" customFormat="1" x14ac:dyDescent="0.55000000000000004">
      <c r="A15" s="57">
        <v>9</v>
      </c>
      <c r="B15" s="58" t="s">
        <v>13</v>
      </c>
      <c r="C15" s="56">
        <f>SUM('1.งบบุคลากร'!C15+'2.งบดำเนินงาน'!O15+'3.งบลงทุน'!C15+'4.งบอุดหนุน'!C15+'5.งบรายจ่ายอื่น'!BC15)</f>
        <v>10923087.4</v>
      </c>
      <c r="D15" s="56">
        <f>SUM('1.งบบุคลากร'!D15+'2.งบดำเนินงาน'!P15+'3.งบลงทุน'!D15+'4.งบอุดหนุน'!D15+'5.งบรายจ่ายอื่น'!BD15)</f>
        <v>1473900</v>
      </c>
      <c r="E15" s="56">
        <f>SUM('1.งบบุคลากร'!E15+'2.งบดำเนินงาน'!Q15+'3.งบลงทุน'!E15+'4.งบอุดหนุน'!E15+'5.งบรายจ่ายอื่น'!BE15)</f>
        <v>6169920.1699999999</v>
      </c>
      <c r="F15" s="56">
        <f>SUM('1.งบบุคลากร'!F15+'2.งบดำเนินงาน'!R15+'3.งบลงทุน'!F15+'4.งบอุดหนุน'!F15+'5.งบรายจ่ายอื่น'!BF15)</f>
        <v>3279267.2300000004</v>
      </c>
      <c r="G15" s="56">
        <f t="shared" si="1"/>
        <v>56.485130476938231</v>
      </c>
      <c r="H15" s="69"/>
    </row>
    <row r="16" spans="1:8" s="70" customFormat="1" x14ac:dyDescent="0.55000000000000004">
      <c r="A16" s="57">
        <v>10</v>
      </c>
      <c r="B16" s="58" t="s">
        <v>14</v>
      </c>
      <c r="C16" s="56">
        <f>SUM('1.งบบุคลากร'!C16+'2.งบดำเนินงาน'!O16+'3.งบลงทุน'!C16+'4.งบอุดหนุน'!C16+'5.งบรายจ่ายอื่น'!BC16)</f>
        <v>9002360</v>
      </c>
      <c r="D16" s="56">
        <f>SUM('1.งบบุคลากร'!D16+'2.งบดำเนินงาน'!P16+'3.งบลงทุน'!D16+'4.งบอุดหนุน'!D16+'5.งบรายจ่ายอื่น'!BD16)</f>
        <v>1007547.5</v>
      </c>
      <c r="E16" s="56">
        <f>SUM('1.งบบุคลากร'!E16+'2.งบดำเนินงาน'!Q16+'3.งบลงทุน'!E16+'4.งบอุดหนุน'!E16+'5.งบรายจ่ายอื่น'!BE16)</f>
        <v>5124221.26</v>
      </c>
      <c r="F16" s="56">
        <f>SUM('1.งบบุคลากร'!F16+'2.งบดำเนินงาน'!R16+'3.งบลงทุน'!F16+'4.งบอุดหนุน'!F16+'5.งบรายจ่ายอื่น'!BF16)</f>
        <v>2870591.24</v>
      </c>
      <c r="G16" s="56">
        <f t="shared" si="1"/>
        <v>56.920865861840674</v>
      </c>
      <c r="H16" s="69"/>
    </row>
    <row r="17" spans="1:8" s="70" customFormat="1" x14ac:dyDescent="0.55000000000000004">
      <c r="A17" s="57">
        <v>11</v>
      </c>
      <c r="B17" s="58" t="s">
        <v>15</v>
      </c>
      <c r="C17" s="56">
        <f>SUM('1.งบบุคลากร'!C17+'2.งบดำเนินงาน'!O17+'3.งบลงทุน'!C17+'4.งบอุดหนุน'!C17+'5.งบรายจ่ายอื่น'!BC17)</f>
        <v>18018134</v>
      </c>
      <c r="D17" s="56">
        <f>SUM('1.งบบุคลากร'!D17+'2.งบดำเนินงาน'!P17+'3.งบลงทุน'!D17+'4.งบอุดหนุน'!D17+'5.งบรายจ่ายอื่น'!BD17)</f>
        <v>1278000</v>
      </c>
      <c r="E17" s="56">
        <f>SUM('1.งบบุคลากร'!E17+'2.งบดำเนินงาน'!Q17+'3.งบลงทุน'!E17+'4.งบอุดหนุน'!E17+'5.งบรายจ่ายอื่น'!BE17)</f>
        <v>5494709.2199999997</v>
      </c>
      <c r="F17" s="56">
        <f>SUM('1.งบบุคลากร'!F17+'2.งบดำเนินงาน'!R17+'3.งบลงทุน'!F17+'4.งบอุดหนุน'!F17+'5.งบรายจ่ายอื่น'!BF17)</f>
        <v>11245424.779999999</v>
      </c>
      <c r="G17" s="56">
        <f t="shared" si="1"/>
        <v>30.495439871853545</v>
      </c>
      <c r="H17" s="69"/>
    </row>
    <row r="18" spans="1:8" s="70" customFormat="1" x14ac:dyDescent="0.55000000000000004">
      <c r="A18" s="57">
        <v>12</v>
      </c>
      <c r="B18" s="58" t="s">
        <v>16</v>
      </c>
      <c r="C18" s="56">
        <f>SUM('1.งบบุคลากร'!C18+'2.งบดำเนินงาน'!O18+'3.งบลงทุน'!C18+'4.งบอุดหนุน'!C18+'5.งบรายจ่ายอื่น'!BC18)</f>
        <v>7852385</v>
      </c>
      <c r="D18" s="56">
        <f>SUM('1.งบบุคลากร'!D18+'2.งบดำเนินงาน'!P18+'3.งบลงทุน'!D18+'4.งบอุดหนุน'!D18+'5.งบรายจ่ายอื่น'!BD18)</f>
        <v>499799.5</v>
      </c>
      <c r="E18" s="56">
        <f>SUM('1.งบบุคลากร'!E18+'2.งบดำเนินงาน'!Q18+'3.งบลงทุน'!E18+'4.งบอุดหนุน'!E18+'5.งบรายจ่ายอื่น'!BE18)</f>
        <v>4406711.6500000004</v>
      </c>
      <c r="F18" s="56">
        <f>SUM('1.งบบุคลากร'!F18+'2.งบดำเนินงาน'!R18+'3.งบลงทุน'!F18+'4.งบอุดหนุน'!F18+'5.งบรายจ่ายอื่น'!BF18)</f>
        <v>2945873.8499999996</v>
      </c>
      <c r="G18" s="56">
        <f t="shared" si="1"/>
        <v>56.119403849913127</v>
      </c>
      <c r="H18" s="69"/>
    </row>
    <row r="19" spans="1:8" s="70" customFormat="1" x14ac:dyDescent="0.55000000000000004">
      <c r="A19" s="57">
        <v>13</v>
      </c>
      <c r="B19" s="58" t="s">
        <v>17</v>
      </c>
      <c r="C19" s="56">
        <f>SUM('1.งบบุคลากร'!C19+'2.งบดำเนินงาน'!O19+'3.งบลงทุน'!C19+'4.งบอุดหนุน'!C19+'5.งบรายจ่ายอื่น'!BC19)</f>
        <v>8170880</v>
      </c>
      <c r="D19" s="56">
        <f>SUM('1.งบบุคลากร'!D19+'2.งบดำเนินงาน'!P19+'3.งบลงทุน'!D19+'4.งบอุดหนุน'!D19+'5.งบรายจ่ายอื่น'!BD19)</f>
        <v>544000</v>
      </c>
      <c r="E19" s="56">
        <f>SUM('1.งบบุคลากร'!E19+'2.งบดำเนินงาน'!Q19+'3.งบลงทุน'!E19+'4.งบอุดหนุน'!E19+'5.งบรายจ่ายอื่น'!BE19)</f>
        <v>3894399.51</v>
      </c>
      <c r="F19" s="56">
        <f>SUM('1.งบบุคลากร'!F19+'2.งบดำเนินงาน'!R19+'3.งบลงทุน'!F19+'4.งบอุดหนุน'!F19+'5.งบรายจ่ายอื่น'!BF19)</f>
        <v>3732480.49</v>
      </c>
      <c r="G19" s="56">
        <f t="shared" si="1"/>
        <v>47.661934944583692</v>
      </c>
      <c r="H19" s="69"/>
    </row>
    <row r="20" spans="1:8" s="70" customFormat="1" x14ac:dyDescent="0.55000000000000004">
      <c r="A20" s="57">
        <v>14</v>
      </c>
      <c r="B20" s="58" t="s">
        <v>18</v>
      </c>
      <c r="C20" s="56">
        <f>SUM('1.งบบุคลากร'!C20+'2.งบดำเนินงาน'!O20+'3.งบลงทุน'!C20+'4.งบอุดหนุน'!C20+'5.งบรายจ่ายอื่น'!BC20)</f>
        <v>10830595</v>
      </c>
      <c r="D20" s="56">
        <f>SUM('1.งบบุคลากร'!D20+'2.งบดำเนินงาน'!P20+'3.งบลงทุน'!D20+'4.งบอุดหนุน'!D20+'5.งบรายจ่ายอื่น'!BD20)</f>
        <v>1133906</v>
      </c>
      <c r="E20" s="56">
        <f>SUM('1.งบบุคลากร'!E20+'2.งบดำเนินงาน'!Q20+'3.งบลงทุน'!E20+'4.งบอุดหนุน'!E20+'5.งบรายจ่ายอื่น'!BE20)</f>
        <v>3426375.82</v>
      </c>
      <c r="F20" s="56">
        <f>SUM('1.งบบุคลากร'!F20+'2.งบดำเนินงาน'!R20+'3.งบลงทุน'!F20+'4.งบอุดหนุน'!F20+'5.งบรายจ่ายอื่น'!BF20)</f>
        <v>6270313.1799999997</v>
      </c>
      <c r="G20" s="56">
        <f t="shared" si="1"/>
        <v>31.636081120196998</v>
      </c>
      <c r="H20" s="69"/>
    </row>
    <row r="21" spans="1:8" s="70" customFormat="1" x14ac:dyDescent="0.55000000000000004">
      <c r="A21" s="57">
        <v>15</v>
      </c>
      <c r="B21" s="58" t="s">
        <v>19</v>
      </c>
      <c r="C21" s="56">
        <f>SUM('1.งบบุคลากร'!C21+'2.งบดำเนินงาน'!O21+'3.งบลงทุน'!C21+'4.งบอุดหนุน'!C21+'5.งบรายจ่ายอื่น'!BC21)</f>
        <v>29303694</v>
      </c>
      <c r="D21" s="56">
        <f>SUM('1.งบบุคลากร'!D21+'2.งบดำเนินงาน'!P21+'3.งบลงทุน'!D21+'4.งบอุดหนุน'!D21+'5.งบรายจ่ายอื่น'!BD21)</f>
        <v>0</v>
      </c>
      <c r="E21" s="56">
        <f>SUM('1.งบบุคลากร'!E21+'2.งบดำเนินงาน'!Q21+'3.งบลงทุน'!E21+'4.งบอุดหนุน'!E21+'5.งบรายจ่ายอื่น'!BE21)</f>
        <v>5525980.7199999997</v>
      </c>
      <c r="F21" s="56">
        <f>SUM('1.งบบุคลากร'!F21+'2.งบดำเนินงาน'!R21+'3.งบลงทุน'!F21+'4.งบอุดหนุน'!F21+'5.งบรายจ่ายอื่น'!BF21)</f>
        <v>23777713.279999997</v>
      </c>
      <c r="G21" s="56">
        <f t="shared" si="1"/>
        <v>18.857624980659434</v>
      </c>
      <c r="H21" s="69"/>
    </row>
    <row r="22" spans="1:8" s="70" customFormat="1" x14ac:dyDescent="0.55000000000000004">
      <c r="A22" s="57">
        <v>16</v>
      </c>
      <c r="B22" s="58" t="s">
        <v>20</v>
      </c>
      <c r="C22" s="56">
        <f>SUM('1.งบบุคลากร'!C22+'2.งบดำเนินงาน'!O22+'3.งบลงทุน'!C22+'4.งบอุดหนุน'!C22+'5.งบรายจ่ายอื่น'!BC22)</f>
        <v>38313884</v>
      </c>
      <c r="D22" s="56">
        <f>SUM('1.งบบุคลากร'!D22+'2.งบดำเนินงาน'!P22+'3.งบลงทุน'!D22+'4.งบอุดหนุน'!D22+'5.งบรายจ่ายอื่น'!BD22)</f>
        <v>30146500</v>
      </c>
      <c r="E22" s="56">
        <f>SUM('1.งบบุคลากร'!E22+'2.งบดำเนินงาน'!Q22+'3.งบลงทุน'!E22+'4.งบอุดหนุน'!E22+'5.งบรายจ่ายอื่น'!BE22)</f>
        <v>4428468.67</v>
      </c>
      <c r="F22" s="56">
        <f>SUM('1.งบบุคลากร'!F22+'2.งบดำเนินงาน'!R22+'3.งบลงทุน'!F22+'4.งบอุดหนุน'!F22+'5.งบรายจ่ายอื่น'!BF22)</f>
        <v>3738915.33</v>
      </c>
      <c r="G22" s="56">
        <f t="shared" si="1"/>
        <v>11.558391391486177</v>
      </c>
      <c r="H22" s="69"/>
    </row>
    <row r="23" spans="1:8" s="70" customFormat="1" x14ac:dyDescent="0.55000000000000004">
      <c r="A23" s="57">
        <v>17</v>
      </c>
      <c r="B23" s="58" t="s">
        <v>21</v>
      </c>
      <c r="C23" s="56">
        <f>SUM('1.งบบุคลากร'!C23+'2.งบดำเนินงาน'!O23+'3.งบลงทุน'!C23+'4.งบอุดหนุน'!C23+'5.งบรายจ่ายอื่น'!BC23)</f>
        <v>11036910</v>
      </c>
      <c r="D23" s="56">
        <f>SUM('1.งบบุคลากร'!D23+'2.งบดำเนินงาน'!P23+'3.งบลงทุน'!D23+'4.งบอุดหนุน'!D23+'5.งบรายจ่ายอื่น'!BD23)</f>
        <v>305000</v>
      </c>
      <c r="E23" s="56">
        <f>SUM('1.งบบุคลากร'!E23+'2.งบดำเนินงาน'!Q23+'3.งบลงทุน'!E23+'4.งบอุดหนุน'!E23+'5.งบรายจ่ายอื่น'!BE23)</f>
        <v>5598034.75</v>
      </c>
      <c r="F23" s="56">
        <f>SUM('1.งบบุคลากร'!F23+'2.งบดำเนินงาน'!R23+'3.งบลงทุน'!F23+'4.งบอุดหนุน'!F23+'5.งบรายจ่ายอื่น'!BF23)</f>
        <v>5133875.25</v>
      </c>
      <c r="G23" s="56">
        <f t="shared" si="1"/>
        <v>50.72103287967375</v>
      </c>
      <c r="H23" s="69"/>
    </row>
    <row r="24" spans="1:8" s="70" customFormat="1" x14ac:dyDescent="0.55000000000000004">
      <c r="A24" s="57">
        <v>18</v>
      </c>
      <c r="B24" s="58" t="s">
        <v>22</v>
      </c>
      <c r="C24" s="56">
        <f>SUM('1.งบบุคลากร'!C24+'2.งบดำเนินงาน'!O24+'3.งบลงทุน'!C24+'4.งบอุดหนุน'!C24+'5.งบรายจ่ายอื่น'!BC24)</f>
        <v>30357463</v>
      </c>
      <c r="D24" s="56">
        <f>SUM('1.งบบุคลากร'!D24+'2.งบดำเนินงาน'!P24+'3.งบลงทุน'!D24+'4.งบอุดหนุน'!D24+'5.งบรายจ่ายอื่น'!BD24)</f>
        <v>3913420</v>
      </c>
      <c r="E24" s="56">
        <f>SUM('1.งบบุคลากร'!E24+'2.งบดำเนินงาน'!Q24+'3.งบลงทุน'!E24+'4.งบอุดหนุน'!E24+'5.งบรายจ่ายอื่น'!BE24)</f>
        <v>3290963.85</v>
      </c>
      <c r="F24" s="56">
        <f>SUM('1.งบบุคลากร'!F24+'2.งบดำเนินงาน'!R24+'3.งบลงทุน'!F24+'4.งบอุดหนุน'!F24+'5.งบรายจ่ายอื่น'!BF24)</f>
        <v>23153079.150000002</v>
      </c>
      <c r="G24" s="56">
        <f t="shared" si="1"/>
        <v>10.840707769288889</v>
      </c>
      <c r="H24" s="69"/>
    </row>
    <row r="25" spans="1:8" s="70" customFormat="1" x14ac:dyDescent="0.55000000000000004">
      <c r="A25" s="57">
        <v>19</v>
      </c>
      <c r="B25" s="58" t="s">
        <v>23</v>
      </c>
      <c r="C25" s="56">
        <f>SUM('1.งบบุคลากร'!C25+'2.งบดำเนินงาน'!O25+'3.งบลงทุน'!C25+'4.งบอุดหนุน'!C25+'5.งบรายจ่ายอื่น'!BC25)</f>
        <v>13268025</v>
      </c>
      <c r="D25" s="56">
        <f>SUM('1.งบบุคลากร'!D25+'2.งบดำเนินงาน'!P25+'3.งบลงทุน'!D25+'4.งบอุดหนุน'!D25+'5.งบรายจ่ายอื่น'!BD25)</f>
        <v>1493720</v>
      </c>
      <c r="E25" s="56">
        <f>SUM('1.งบบุคลากร'!E25+'2.งบดำเนินงาน'!Q25+'3.งบลงทุน'!E25+'4.งบอุดหนุน'!E25+'5.งบรายจ่ายอื่น'!BE25)</f>
        <v>5772859.290000001</v>
      </c>
      <c r="F25" s="56">
        <f>SUM('1.งบบุคลากร'!F25+'2.งบดำเนินงาน'!R25+'3.งบลงทุน'!F25+'4.งบอุดหนุน'!F25+'5.งบรายจ่ายอื่น'!BF25)</f>
        <v>6001445.71</v>
      </c>
      <c r="G25" s="56">
        <f t="shared" si="1"/>
        <v>43.509559938272659</v>
      </c>
      <c r="H25" s="69"/>
    </row>
    <row r="26" spans="1:8" s="70" customFormat="1" x14ac:dyDescent="0.55000000000000004">
      <c r="A26" s="57">
        <v>20</v>
      </c>
      <c r="B26" s="58" t="s">
        <v>24</v>
      </c>
      <c r="C26" s="56">
        <f>SUM('1.งบบุคลากร'!C26+'2.งบดำเนินงาน'!O26+'3.งบลงทุน'!C26+'4.งบอุดหนุน'!C26+'5.งบรายจ่ายอื่น'!BC26)</f>
        <v>101173462</v>
      </c>
      <c r="D26" s="56">
        <f>SUM('1.งบบุคลากร'!D26+'2.งบดำเนินงาน'!P26+'3.งบลงทุน'!D26+'4.งบอุดหนุน'!D26+'5.งบรายจ่ายอื่น'!BD26)</f>
        <v>966040</v>
      </c>
      <c r="E26" s="56">
        <f>SUM('1.งบบุคลากร'!E26+'2.งบดำเนินงาน'!Q26+'3.งบลงทุน'!E26+'4.งบอุดหนุน'!E26+'5.งบรายจ่ายอื่น'!BE26)</f>
        <v>69104593.539999992</v>
      </c>
      <c r="F26" s="56">
        <f>SUM('1.งบบุคลากร'!F26+'2.งบดำเนินงาน'!R26+'3.งบลงทุน'!F26+'4.งบอุดหนุน'!F26+'5.งบรายจ่ายอื่น'!BF26)</f>
        <v>31102828.459999997</v>
      </c>
      <c r="G26" s="56">
        <f t="shared" si="1"/>
        <v>68.303082818298719</v>
      </c>
      <c r="H26" s="69"/>
    </row>
    <row r="27" spans="1:8" s="70" customFormat="1" x14ac:dyDescent="0.55000000000000004">
      <c r="A27" s="57">
        <v>21</v>
      </c>
      <c r="B27" s="58" t="s">
        <v>25</v>
      </c>
      <c r="C27" s="56">
        <f>SUM('1.งบบุคลากร'!C27+'2.งบดำเนินงาน'!O27+'3.งบลงทุน'!C27+'4.งบอุดหนุน'!C27+'5.งบรายจ่ายอื่น'!BC27)</f>
        <v>9411536</v>
      </c>
      <c r="D27" s="56">
        <f>SUM('1.งบบุคลากร'!D27+'2.งบดำเนินงาน'!P27+'3.งบลงทุน'!D27+'4.งบอุดหนุน'!D27+'5.งบรายจ่ายอื่น'!BD27)</f>
        <v>531525</v>
      </c>
      <c r="E27" s="56">
        <f>SUM('1.งบบุคลากร'!E27+'2.งบดำเนินงาน'!Q27+'3.งบลงทุน'!E27+'4.งบอุดหนุน'!E27+'5.งบรายจ่ายอื่น'!BE27)</f>
        <v>4360148.62</v>
      </c>
      <c r="F27" s="56">
        <f>SUM('1.งบบุคลากร'!F27+'2.งบดำเนินงาน'!R27+'3.งบลงทุน'!F27+'4.งบอุดหนุน'!F27+'5.งบรายจ่ายอื่น'!BF27)</f>
        <v>4519862.38</v>
      </c>
      <c r="G27" s="56">
        <f t="shared" si="1"/>
        <v>46.327704850727869</v>
      </c>
      <c r="H27" s="69"/>
    </row>
    <row r="28" spans="1:8" s="70" customFormat="1" x14ac:dyDescent="0.55000000000000004">
      <c r="A28" s="57">
        <v>22</v>
      </c>
      <c r="B28" s="58" t="s">
        <v>26</v>
      </c>
      <c r="C28" s="56">
        <f>SUM('1.งบบุคลากร'!C28+'2.งบดำเนินงาน'!O28+'3.งบลงทุน'!C28+'4.งบอุดหนุน'!C28+'5.งบรายจ่ายอื่น'!BC28)</f>
        <v>10111427</v>
      </c>
      <c r="D28" s="56">
        <f>SUM('1.งบบุคลากร'!D28+'2.งบดำเนินงาน'!P28+'3.งบลงทุน'!D28+'4.งบอุดหนุน'!D28+'5.งบรายจ่ายอื่น'!BD28)</f>
        <v>0</v>
      </c>
      <c r="E28" s="56">
        <f>SUM('1.งบบุคลากร'!E28+'2.งบดำเนินงาน'!Q28+'3.งบลงทุน'!E28+'4.งบอุดหนุน'!E28+'5.งบรายจ่ายอื่น'!BE28)</f>
        <v>6342793.9199999999</v>
      </c>
      <c r="F28" s="56">
        <f>SUM('1.งบบุคลากร'!F28+'2.งบดำเนินงาน'!R28+'3.งบลงทุน'!F28+'4.งบอุดหนุน'!F28+'5.งบรายจ่ายอื่น'!BF28)</f>
        <v>3768633.08</v>
      </c>
      <c r="G28" s="56">
        <f t="shared" si="1"/>
        <v>62.72896911583301</v>
      </c>
      <c r="H28" s="69"/>
    </row>
    <row r="29" spans="1:8" s="70" customFormat="1" x14ac:dyDescent="0.55000000000000004">
      <c r="A29" s="57">
        <v>23</v>
      </c>
      <c r="B29" s="58" t="s">
        <v>27</v>
      </c>
      <c r="C29" s="56">
        <f>SUM('1.งบบุคลากร'!C29+'2.งบดำเนินงาน'!O29+'3.งบลงทุน'!C29+'4.งบอุดหนุน'!C29+'5.งบรายจ่ายอื่น'!BC29)</f>
        <v>16697470</v>
      </c>
      <c r="D29" s="56">
        <f>SUM('1.งบบุคลากร'!D29+'2.งบดำเนินงาน'!P29+'3.งบลงทุน'!D29+'4.งบอุดหนุน'!D29+'5.งบรายจ่ายอื่น'!BD29)</f>
        <v>3803218</v>
      </c>
      <c r="E29" s="56">
        <f>SUM('1.งบบุคลากร'!E29+'2.งบดำเนินงาน'!Q29+'3.งบลงทุน'!E29+'4.งบอุดหนุน'!E29+'5.งบรายจ่ายอื่น'!BE29)</f>
        <v>4809569.3600000003</v>
      </c>
      <c r="F29" s="56">
        <f>SUM('1.งบบุคลากร'!F29+'2.งบดำเนินงาน'!R29+'3.งบลงทุน'!F29+'4.งบอุดหนุน'!F29+'5.งบรายจ่ายอื่น'!BF29)</f>
        <v>8084682.6400000006</v>
      </c>
      <c r="G29" s="56">
        <f t="shared" si="1"/>
        <v>28.804180274017565</v>
      </c>
      <c r="H29" s="69"/>
    </row>
    <row r="30" spans="1:8" s="70" customFormat="1" x14ac:dyDescent="0.55000000000000004">
      <c r="A30" s="57">
        <v>24</v>
      </c>
      <c r="B30" s="58" t="s">
        <v>28</v>
      </c>
      <c r="C30" s="56">
        <f>SUM('1.งบบุคลากร'!C30+'2.งบดำเนินงาน'!O30+'3.งบลงทุน'!C30+'4.งบอุดหนุน'!C30+'5.งบรายจ่ายอื่น'!BC30)</f>
        <v>8810393</v>
      </c>
      <c r="D30" s="56">
        <f>SUM('1.งบบุคลากร'!D30+'2.งบดำเนินงาน'!P30+'3.งบลงทุน'!D30+'4.งบอุดหนุน'!D30+'5.งบรายจ่ายอื่น'!BD30)</f>
        <v>420852</v>
      </c>
      <c r="E30" s="56">
        <f>SUM('1.งบบุคลากร'!E30+'2.งบดำเนินงาน'!Q30+'3.งบลงทุน'!E30+'4.งบอุดหนุน'!E30+'5.งบรายจ่ายอื่น'!BE30)</f>
        <v>4887312.18</v>
      </c>
      <c r="F30" s="56">
        <f>SUM('1.งบบุคลากร'!F30+'2.งบดำเนินงาน'!R30+'3.งบลงทุน'!F30+'4.งบอุดหนุน'!F30+'5.งบรายจ่ายอื่น'!BF30)</f>
        <v>3502228.8200000003</v>
      </c>
      <c r="G30" s="56">
        <f t="shared" si="1"/>
        <v>55.472124569244528</v>
      </c>
      <c r="H30" s="69"/>
    </row>
    <row r="31" spans="1:8" s="70" customFormat="1" x14ac:dyDescent="0.55000000000000004">
      <c r="A31" s="57">
        <v>25</v>
      </c>
      <c r="B31" s="58" t="s">
        <v>29</v>
      </c>
      <c r="C31" s="56">
        <f>SUM('1.งบบุคลากร'!C31+'2.งบดำเนินงาน'!O31+'3.งบลงทุน'!C31+'4.งบอุดหนุน'!C31+'5.งบรายจ่ายอื่น'!BC31)</f>
        <v>10044663</v>
      </c>
      <c r="D31" s="56">
        <f>SUM('1.งบบุคลากร'!D31+'2.งบดำเนินงาน'!P31+'3.งบลงทุน'!D31+'4.งบอุดหนุน'!D31+'5.งบรายจ่ายอื่น'!BD31)</f>
        <v>2078500</v>
      </c>
      <c r="E31" s="56">
        <f>SUM('1.งบบุคลากร'!E31+'2.งบดำเนินงาน'!Q31+'3.งบลงทุน'!E31+'4.งบอุดหนุน'!E31+'5.งบรายจ่ายอื่น'!BE31)</f>
        <v>5400354.0299999993</v>
      </c>
      <c r="F31" s="56">
        <f>SUM('1.งบบุคลากร'!F31+'2.งบดำเนินงาน'!R31+'3.งบลงทุน'!F31+'4.งบอุดหนุน'!F31+'5.งบรายจ่ายอื่น'!BF31)</f>
        <v>2565808.9700000002</v>
      </c>
      <c r="G31" s="56">
        <f t="shared" si="1"/>
        <v>53.763416751761596</v>
      </c>
      <c r="H31" s="69"/>
    </row>
    <row r="32" spans="1:8" s="70" customFormat="1" x14ac:dyDescent="0.55000000000000004">
      <c r="A32" s="57">
        <v>26</v>
      </c>
      <c r="B32" s="58" t="s">
        <v>30</v>
      </c>
      <c r="C32" s="56">
        <f>SUM('1.งบบุคลากร'!C32+'2.งบดำเนินงาน'!O32+'3.งบลงทุน'!C32+'4.งบอุดหนุน'!C32+'5.งบรายจ่ายอื่น'!BC32)</f>
        <v>10424408</v>
      </c>
      <c r="D32" s="56">
        <f>SUM('1.งบบุคลากร'!D32+'2.งบดำเนินงาน'!P32+'3.งบลงทุน'!D32+'4.งบอุดหนุน'!D32+'5.งบรายจ่ายอื่น'!BD32)</f>
        <v>393000</v>
      </c>
      <c r="E32" s="56">
        <f>SUM('1.งบบุคลากร'!E32+'2.งบดำเนินงาน'!Q32+'3.งบลงทุน'!E32+'4.งบอุดหนุน'!E32+'5.งบรายจ่ายอื่น'!BE32)</f>
        <v>5722869.8200000003</v>
      </c>
      <c r="F32" s="56">
        <f>SUM('1.งบบุคลากร'!F32+'2.งบดำเนินงาน'!R32+'3.งบลงทุน'!F32+'4.งบอุดหนุน'!F32+'5.งบรายจ่ายอื่น'!BF32)</f>
        <v>4308538.18</v>
      </c>
      <c r="G32" s="56">
        <f t="shared" si="1"/>
        <v>54.898751276811112</v>
      </c>
      <c r="H32" s="69"/>
    </row>
    <row r="33" spans="1:8" s="70" customFormat="1" x14ac:dyDescent="0.55000000000000004">
      <c r="A33" s="57">
        <v>27</v>
      </c>
      <c r="B33" s="58" t="s">
        <v>31</v>
      </c>
      <c r="C33" s="56">
        <f>SUM('1.งบบุคลากร'!C33+'2.งบดำเนินงาน'!O33+'3.งบลงทุน'!C33+'4.งบอุดหนุน'!C33+'5.งบรายจ่ายอื่น'!BC33)</f>
        <v>11070892</v>
      </c>
      <c r="D33" s="56">
        <f>SUM('1.งบบุคลากร'!D33+'2.งบดำเนินงาน'!P33+'3.งบลงทุน'!D33+'4.งบอุดหนุน'!D33+'5.งบรายจ่ายอื่น'!BD33)</f>
        <v>2165528</v>
      </c>
      <c r="E33" s="56">
        <f>SUM('1.งบบุคลากร'!E33+'2.งบดำเนินงาน'!Q33+'3.งบลงทุน'!E33+'4.งบอุดหนุน'!E33+'5.งบรายจ่ายอื่น'!BE33)</f>
        <v>4741496.55</v>
      </c>
      <c r="F33" s="56">
        <f>SUM('1.งบบุคลากร'!F33+'2.งบดำเนินงาน'!R33+'3.งบลงทุน'!F33+'4.งบอุดหนุน'!F33+'5.งบรายจ่ายอื่น'!BF33)</f>
        <v>4163867.45</v>
      </c>
      <c r="G33" s="56">
        <f t="shared" si="1"/>
        <v>42.828496113953598</v>
      </c>
      <c r="H33" s="69"/>
    </row>
    <row r="34" spans="1:8" s="70" customFormat="1" x14ac:dyDescent="0.55000000000000004">
      <c r="A34" s="57">
        <v>28</v>
      </c>
      <c r="B34" s="58" t="s">
        <v>32</v>
      </c>
      <c r="C34" s="56">
        <f>SUM('1.งบบุคลากร'!C34+'2.งบดำเนินงาน'!O34+'3.งบลงทุน'!C34+'4.งบอุดหนุน'!C34+'5.งบรายจ่ายอื่น'!BC34)</f>
        <v>11024110</v>
      </c>
      <c r="D34" s="56">
        <f>SUM('1.งบบุคลากร'!D34+'2.งบดำเนินงาน'!P34+'3.งบลงทุน'!D34+'4.งบอุดหนุน'!D34+'5.งบรายจ่ายอื่น'!BD34)</f>
        <v>0</v>
      </c>
      <c r="E34" s="56">
        <f>SUM('1.งบบุคลากร'!E34+'2.งบดำเนินงาน'!Q34+'3.งบลงทุน'!E34+'4.งบอุดหนุน'!E34+'5.งบรายจ่ายอื่น'!BE34)</f>
        <v>4223973.26</v>
      </c>
      <c r="F34" s="56">
        <f>SUM('1.งบบุคลากร'!F34+'2.งบดำเนินงาน'!R34+'3.งบลงทุน'!F34+'4.งบอุดหนุน'!F34+'5.งบรายจ่ายอื่น'!BF34)</f>
        <v>6800136.7400000002</v>
      </c>
      <c r="G34" s="56">
        <f t="shared" si="1"/>
        <v>38.315775695271547</v>
      </c>
      <c r="H34" s="69"/>
    </row>
    <row r="35" spans="1:8" s="70" customFormat="1" x14ac:dyDescent="0.55000000000000004">
      <c r="A35" s="57">
        <v>29</v>
      </c>
      <c r="B35" s="58" t="s">
        <v>33</v>
      </c>
      <c r="C35" s="56">
        <f>SUM('1.งบบุคลากร'!C35+'2.งบดำเนินงาน'!O35+'3.งบลงทุน'!C35+'4.งบอุดหนุน'!C35+'5.งบรายจ่ายอื่น'!BC35)</f>
        <v>15850351</v>
      </c>
      <c r="D35" s="56">
        <f>SUM('1.งบบุคลากร'!D35+'2.งบดำเนินงาน'!P35+'3.งบลงทุน'!D35+'4.งบอุดหนุน'!D35+'5.งบรายจ่ายอื่น'!BD35)</f>
        <v>30000</v>
      </c>
      <c r="E35" s="56">
        <f>SUM('1.งบบุคลากร'!E35+'2.งบดำเนินงาน'!Q35+'3.งบลงทุน'!E35+'4.งบอุดหนุน'!E35+'5.งบรายจ่ายอื่น'!BE35)</f>
        <v>3138537.55</v>
      </c>
      <c r="F35" s="56">
        <f>SUM('1.งบบุคลากร'!F35+'2.งบดำเนินงาน'!R35+'3.งบลงทุน'!F35+'4.งบอุดหนุน'!F35+'5.งบรายจ่ายอื่น'!BF35)</f>
        <v>12681813.449999999</v>
      </c>
      <c r="G35" s="56">
        <f t="shared" si="1"/>
        <v>19.801060241505063</v>
      </c>
      <c r="H35" s="69"/>
    </row>
    <row r="36" spans="1:8" s="70" customFormat="1" x14ac:dyDescent="0.55000000000000004">
      <c r="A36" s="57">
        <v>30</v>
      </c>
      <c r="B36" s="58" t="s">
        <v>34</v>
      </c>
      <c r="C36" s="56">
        <f>SUM('1.งบบุคลากร'!C36+'2.งบดำเนินงาน'!O36+'3.งบลงทุน'!C36+'4.งบอุดหนุน'!C36+'5.งบรายจ่ายอื่น'!BC36)</f>
        <v>19977768</v>
      </c>
      <c r="D36" s="56">
        <f>SUM('1.งบบุคลากร'!D36+'2.งบดำเนินงาน'!P36+'3.งบลงทุน'!D36+'4.งบอุดหนุน'!D36+'5.งบรายจ่ายอื่น'!BD36)</f>
        <v>0</v>
      </c>
      <c r="E36" s="56">
        <f>SUM('1.งบบุคลากร'!E36+'2.งบดำเนินงาน'!Q36+'3.งบลงทุน'!E36+'4.งบอุดหนุน'!E36+'5.งบรายจ่ายอื่น'!BE36)</f>
        <v>4910355.0600000005</v>
      </c>
      <c r="F36" s="56">
        <f>SUM('1.งบบุคลากร'!F36+'2.งบดำเนินงาน'!R36+'3.งบลงทุน'!F36+'4.งบอุดหนุน'!F36+'5.งบรายจ่ายอื่น'!BF36)</f>
        <v>15067412.939999999</v>
      </c>
      <c r="G36" s="56">
        <f t="shared" si="1"/>
        <v>24.579097424697295</v>
      </c>
      <c r="H36" s="69"/>
    </row>
    <row r="37" spans="1:8" s="70" customFormat="1" x14ac:dyDescent="0.55000000000000004">
      <c r="A37" s="57">
        <v>31</v>
      </c>
      <c r="B37" s="58" t="s">
        <v>35</v>
      </c>
      <c r="C37" s="56">
        <f>SUM('1.งบบุคลากร'!C37+'2.งบดำเนินงาน'!O37+'3.งบลงทุน'!C37+'4.งบอุดหนุน'!C37+'5.งบรายจ่ายอื่น'!BC37)</f>
        <v>9103986</v>
      </c>
      <c r="D37" s="56">
        <f>SUM('1.งบบุคลากร'!D37+'2.งบดำเนินงาน'!P37+'3.งบลงทุน'!D37+'4.งบอุดหนุน'!D37+'5.งบรายจ่ายอื่น'!BD37)</f>
        <v>997800</v>
      </c>
      <c r="E37" s="56">
        <f>SUM('1.งบบุคลากร'!E37+'2.งบดำเนินงาน'!Q37+'3.งบลงทุน'!E37+'4.งบอุดหนุน'!E37+'5.งบรายจ่ายอื่น'!BE37)</f>
        <v>4876449.0199999996</v>
      </c>
      <c r="F37" s="56">
        <f>SUM('1.งบบุคลากร'!F37+'2.งบดำเนินงาน'!R37+'3.งบลงทุน'!F37+'4.งบอุดหนุน'!F37+'5.งบรายจ่ายอื่น'!BF37)</f>
        <v>3229736.98</v>
      </c>
      <c r="G37" s="56">
        <f t="shared" si="1"/>
        <v>53.563889707211757</v>
      </c>
      <c r="H37" s="69"/>
    </row>
    <row r="38" spans="1:8" s="70" customFormat="1" x14ac:dyDescent="0.55000000000000004">
      <c r="A38" s="57">
        <v>32</v>
      </c>
      <c r="B38" s="58" t="s">
        <v>36</v>
      </c>
      <c r="C38" s="56">
        <f>SUM('1.งบบุคลากร'!C38+'2.งบดำเนินงาน'!O38+'3.งบลงทุน'!C38+'4.งบอุดหนุน'!C38+'5.งบรายจ่ายอื่น'!BC38)</f>
        <v>42920320</v>
      </c>
      <c r="D38" s="56">
        <f>SUM('1.งบบุคลากร'!D38+'2.งบดำเนินงาน'!P38+'3.งบลงทุน'!D38+'4.งบอุดหนุน'!D38+'5.งบรายจ่ายอื่น'!BD38)</f>
        <v>4736733</v>
      </c>
      <c r="E38" s="56">
        <f>SUM('1.งบบุคลากร'!E38+'2.งบดำเนินงาน'!Q38+'3.งบลงทุน'!E38+'4.งบอุดหนุน'!E38+'5.งบรายจ่ายอื่น'!BE38)</f>
        <v>34829156.590000004</v>
      </c>
      <c r="F38" s="56">
        <f>SUM('1.งบบุคลากร'!F38+'2.งบดำเนินงาน'!R38+'3.งบลงทุน'!F38+'4.งบอุดหนุน'!F38+'5.งบรายจ่ายอื่น'!BF38)</f>
        <v>3354430.41</v>
      </c>
      <c r="G38" s="56">
        <f t="shared" ref="G38:G69" si="2">SUM(E38*100/C38)</f>
        <v>81.148408469461558</v>
      </c>
      <c r="H38" s="69"/>
    </row>
    <row r="39" spans="1:8" s="70" customFormat="1" x14ac:dyDescent="0.55000000000000004">
      <c r="A39" s="57">
        <v>33</v>
      </c>
      <c r="B39" s="58" t="s">
        <v>37</v>
      </c>
      <c r="C39" s="56">
        <f>SUM('1.งบบุคลากร'!C39+'2.งบดำเนินงาน'!O39+'3.งบลงทุน'!C39+'4.งบอุดหนุน'!C39+'5.งบรายจ่ายอื่น'!BC39)</f>
        <v>24337236</v>
      </c>
      <c r="D39" s="56">
        <f>SUM('1.งบบุคลากร'!D39+'2.งบดำเนินงาน'!P39+'3.งบลงทุน'!D39+'4.งบอุดหนุน'!D39+'5.งบรายจ่ายอื่น'!BD39)</f>
        <v>3496.75</v>
      </c>
      <c r="E39" s="56">
        <f>SUM('1.งบบุคลากร'!E39+'2.งบดำเนินงาน'!Q39+'3.งบลงทุน'!E39+'4.งบอุดหนุน'!E39+'5.งบรายจ่ายอื่น'!BE39)</f>
        <v>19172629.030000001</v>
      </c>
      <c r="F39" s="56">
        <f>SUM('1.งบบุคลากร'!F39+'2.งบดำเนินงาน'!R39+'3.งบลงทุน'!F39+'4.งบอุดหนุน'!F39+'5.งบรายจ่ายอื่น'!BF39)</f>
        <v>5161110.2200000007</v>
      </c>
      <c r="G39" s="56">
        <f t="shared" si="2"/>
        <v>78.778991295478249</v>
      </c>
      <c r="H39" s="69"/>
    </row>
    <row r="40" spans="1:8" s="70" customFormat="1" x14ac:dyDescent="0.55000000000000004">
      <c r="A40" s="57">
        <v>34</v>
      </c>
      <c r="B40" s="58" t="s">
        <v>38</v>
      </c>
      <c r="C40" s="56">
        <f>SUM('1.งบบุคลากร'!C40+'2.งบดำเนินงาน'!O40+'3.งบลงทุน'!C40+'4.งบอุดหนุน'!C40+'5.งบรายจ่ายอื่น'!BC40)</f>
        <v>8065773</v>
      </c>
      <c r="D40" s="56">
        <f>SUM('1.งบบุคลากร'!D40+'2.งบดำเนินงาน'!P40+'3.งบลงทุน'!D40+'4.งบอุดหนุน'!D40+'5.งบรายจ่ายอื่น'!BD40)</f>
        <v>0</v>
      </c>
      <c r="E40" s="56">
        <f>SUM('1.งบบุคลากร'!E40+'2.งบดำเนินงาน'!Q40+'3.งบลงทุน'!E40+'4.งบอุดหนุน'!E40+'5.งบรายจ่ายอื่น'!BE40)</f>
        <v>4382093.3599999994</v>
      </c>
      <c r="F40" s="56">
        <f>SUM('1.งบบุคลากร'!F40+'2.งบดำเนินงาน'!R40+'3.งบลงทุน'!F40+'4.งบอุดหนุน'!F40+'5.งบรายจ่ายอื่น'!BF40)</f>
        <v>3683679.64</v>
      </c>
      <c r="G40" s="56">
        <f t="shared" si="2"/>
        <v>54.329490304277087</v>
      </c>
      <c r="H40" s="69"/>
    </row>
    <row r="41" spans="1:8" s="70" customFormat="1" x14ac:dyDescent="0.55000000000000004">
      <c r="A41" s="57">
        <v>35</v>
      </c>
      <c r="B41" s="58" t="s">
        <v>39</v>
      </c>
      <c r="C41" s="56">
        <f>SUM('1.งบบุคลากร'!C41+'2.งบดำเนินงาน'!O41+'3.งบลงทุน'!C41+'4.งบอุดหนุน'!C41+'5.งบรายจ่ายอื่น'!BC41)</f>
        <v>33916220</v>
      </c>
      <c r="D41" s="56">
        <f>SUM('1.งบบุคลากร'!D41+'2.งบดำเนินงาน'!P41+'3.งบลงทุน'!D41+'4.งบอุดหนุน'!D41+'5.งบรายจ่ายอื่น'!BD41)</f>
        <v>1376750</v>
      </c>
      <c r="E41" s="56">
        <f>SUM('1.งบบุคลากร'!E41+'2.งบดำเนินงาน'!Q41+'3.งบลงทุน'!E41+'4.งบอุดหนุน'!E41+'5.งบรายจ่ายอื่น'!BE41)</f>
        <v>4174828.57</v>
      </c>
      <c r="F41" s="56">
        <f>SUM('1.งบบุคลากร'!F41+'2.งบดำเนินงาน'!R41+'3.งบลงทุน'!F41+'4.งบอุดหนุน'!F41+'5.งบรายจ่ายอื่น'!BF41)</f>
        <v>28364641.43</v>
      </c>
      <c r="G41" s="56">
        <f t="shared" si="2"/>
        <v>12.309238971795796</v>
      </c>
      <c r="H41" s="69"/>
    </row>
    <row r="42" spans="1:8" s="70" customFormat="1" x14ac:dyDescent="0.55000000000000004">
      <c r="A42" s="57">
        <v>36</v>
      </c>
      <c r="B42" s="58" t="s">
        <v>40</v>
      </c>
      <c r="C42" s="56">
        <f>SUM('1.งบบุคลากร'!C42+'2.งบดำเนินงาน'!O42+'3.งบลงทุน'!C42+'4.งบอุดหนุน'!C42+'5.งบรายจ่ายอื่น'!BC42)</f>
        <v>30772831</v>
      </c>
      <c r="D42" s="56">
        <f>SUM('1.งบบุคลากร'!D42+'2.งบดำเนินงาน'!P42+'3.งบลงทุน'!D42+'4.งบอุดหนุน'!D42+'5.งบรายจ่ายอื่น'!BD42)</f>
        <v>5023700</v>
      </c>
      <c r="E42" s="56">
        <f>SUM('1.งบบุคลากร'!E42+'2.งบดำเนินงาน'!Q42+'3.งบลงทุน'!E42+'4.งบอุดหนุน'!E42+'5.งบรายจ่ายอื่น'!BE42)</f>
        <v>17087922.190000001</v>
      </c>
      <c r="F42" s="56">
        <f>SUM('1.งบบุคลากร'!F42+'2.งบดำเนินงาน'!R42+'3.งบลงทุน'!F42+'4.งบอุดหนุน'!F42+'5.งบรายจ่ายอื่น'!BF42)</f>
        <v>8661208.8099999987</v>
      </c>
      <c r="G42" s="56">
        <f t="shared" si="2"/>
        <v>55.529249778806516</v>
      </c>
      <c r="H42" s="69"/>
    </row>
    <row r="43" spans="1:8" s="70" customFormat="1" x14ac:dyDescent="0.55000000000000004">
      <c r="A43" s="57">
        <v>37</v>
      </c>
      <c r="B43" s="58" t="s">
        <v>41</v>
      </c>
      <c r="C43" s="56">
        <f>SUM('1.งบบุคลากร'!C43+'2.งบดำเนินงาน'!O43+'3.งบลงทุน'!C43+'4.งบอุดหนุน'!C43+'5.งบรายจ่ายอื่น'!BC43)</f>
        <v>29783204</v>
      </c>
      <c r="D43" s="56">
        <f>SUM('1.งบบุคลากร'!D43+'2.งบดำเนินงาน'!P43+'3.งบลงทุน'!D43+'4.งบอุดหนุน'!D43+'5.งบรายจ่ายอื่น'!BD43)</f>
        <v>13371978</v>
      </c>
      <c r="E43" s="56">
        <f>SUM('1.งบบุคลากร'!E43+'2.งบดำเนินงาน'!Q43+'3.งบลงทุน'!E43+'4.งบอุดหนุน'!E43+'5.งบรายจ่ายอื่น'!BE43)</f>
        <v>7424504.79</v>
      </c>
      <c r="F43" s="56">
        <f>SUM('1.งบบุคลากร'!F43+'2.งบดำเนินงาน'!R43+'3.งบลงทุน'!F43+'4.งบอุดหนุน'!F43+'5.งบรายจ่ายอื่น'!BF43)</f>
        <v>8986721.2100000009</v>
      </c>
      <c r="G43" s="56">
        <f t="shared" si="2"/>
        <v>24.928495906619045</v>
      </c>
      <c r="H43" s="69"/>
    </row>
    <row r="44" spans="1:8" s="70" customFormat="1" x14ac:dyDescent="0.55000000000000004">
      <c r="A44" s="57">
        <v>38</v>
      </c>
      <c r="B44" s="58" t="s">
        <v>42</v>
      </c>
      <c r="C44" s="56">
        <f>SUM('1.งบบุคลากร'!C44+'2.งบดำเนินงาน'!O44+'3.งบลงทุน'!C44+'4.งบอุดหนุน'!C44+'5.งบรายจ่ายอื่น'!BC44)</f>
        <v>15035612</v>
      </c>
      <c r="D44" s="56">
        <f>SUM('1.งบบุคลากร'!D44+'2.งบดำเนินงาน'!P44+'3.งบลงทุน'!D44+'4.งบอุดหนุน'!D44+'5.งบรายจ่ายอื่น'!BD44)</f>
        <v>323400</v>
      </c>
      <c r="E44" s="56">
        <f>SUM('1.งบบุคลากร'!E44+'2.งบดำเนินงาน'!Q44+'3.งบลงทุน'!E44+'4.งบอุดหนุน'!E44+'5.งบรายจ่ายอื่น'!BE44)</f>
        <v>3285654.96</v>
      </c>
      <c r="F44" s="56">
        <f>SUM('1.งบบุคลากร'!F44+'2.งบดำเนินงาน'!R44+'3.งบลงทุน'!F44+'4.งบอุดหนุน'!F44+'5.งบรายจ่ายอื่น'!BF44)</f>
        <v>11426557.039999999</v>
      </c>
      <c r="G44" s="56">
        <f t="shared" si="2"/>
        <v>21.852485685318296</v>
      </c>
      <c r="H44" s="69"/>
    </row>
    <row r="45" spans="1:8" s="70" customFormat="1" x14ac:dyDescent="0.55000000000000004">
      <c r="A45" s="57">
        <v>39</v>
      </c>
      <c r="B45" s="58" t="s">
        <v>43</v>
      </c>
      <c r="C45" s="56">
        <f>SUM('1.งบบุคลากร'!C45+'2.งบดำเนินงาน'!O45+'3.งบลงทุน'!C45+'4.งบอุดหนุน'!C45+'5.งบรายจ่ายอื่น'!BC45)</f>
        <v>9979213</v>
      </c>
      <c r="D45" s="56">
        <f>SUM('1.งบบุคลากร'!D45+'2.งบดำเนินงาน'!P45+'3.งบลงทุน'!D45+'4.งบอุดหนุน'!D45+'5.งบรายจ่ายอื่น'!BD45)</f>
        <v>543000</v>
      </c>
      <c r="E45" s="56">
        <f>SUM('1.งบบุคลากร'!E45+'2.งบดำเนินงาน'!Q45+'3.งบลงทุน'!E45+'4.งบอุดหนุน'!E45+'5.งบรายจ่ายอื่น'!BE45)</f>
        <v>5961832.6299999999</v>
      </c>
      <c r="F45" s="56">
        <f>SUM('1.งบบุคลากร'!F45+'2.งบดำเนินงาน'!R45+'3.งบลงทุน'!F45+'4.งบอุดหนุน'!F45+'5.งบรายจ่ายอื่น'!BF45)</f>
        <v>3474380.37</v>
      </c>
      <c r="G45" s="56">
        <f t="shared" si="2"/>
        <v>59.742513061901775</v>
      </c>
      <c r="H45" s="69"/>
    </row>
    <row r="46" spans="1:8" s="70" customFormat="1" x14ac:dyDescent="0.55000000000000004">
      <c r="A46" s="57">
        <v>40</v>
      </c>
      <c r="B46" s="58" t="s">
        <v>44</v>
      </c>
      <c r="C46" s="56">
        <f>SUM('1.งบบุคลากร'!C46+'2.งบดำเนินงาน'!O46+'3.งบลงทุน'!C46+'4.งบอุดหนุน'!C46+'5.งบรายจ่ายอื่น'!BC46)</f>
        <v>8232402</v>
      </c>
      <c r="D46" s="56">
        <f>SUM('1.งบบุคลากร'!D46+'2.งบดำเนินงาน'!P46+'3.งบลงทุน'!D46+'4.งบอุดหนุน'!D46+'5.งบรายจ่ายอื่น'!BD46)</f>
        <v>511086</v>
      </c>
      <c r="E46" s="56">
        <f>SUM('1.งบบุคลากร'!E46+'2.งบดำเนินงาน'!Q46+'3.งบลงทุน'!E46+'4.งบอุดหนุน'!E46+'5.งบรายจ่ายอื่น'!BE46)</f>
        <v>5310347.28</v>
      </c>
      <c r="F46" s="56">
        <f>SUM('1.งบบุคลากร'!F46+'2.งบดำเนินงาน'!R46+'3.งบลงทุน'!F46+'4.งบอุดหนุน'!F46+'5.งบรายจ่ายอื่น'!BF46)</f>
        <v>2410968.7199999997</v>
      </c>
      <c r="G46" s="56">
        <f t="shared" si="2"/>
        <v>64.50544178965022</v>
      </c>
      <c r="H46" s="69"/>
    </row>
    <row r="47" spans="1:8" s="70" customFormat="1" x14ac:dyDescent="0.55000000000000004">
      <c r="A47" s="57">
        <v>41</v>
      </c>
      <c r="B47" s="58" t="s">
        <v>45</v>
      </c>
      <c r="C47" s="56">
        <f>SUM('1.งบบุคลากร'!C47+'2.งบดำเนินงาน'!O47+'3.งบลงทุน'!C47+'4.งบอุดหนุน'!C47+'5.งบรายจ่ายอื่น'!BC47)</f>
        <v>106966314</v>
      </c>
      <c r="D47" s="56">
        <f>SUM('1.งบบุคลากร'!D47+'2.งบดำเนินงาน'!P47+'3.งบลงทุน'!D47+'4.งบอุดหนุน'!D47+'5.งบรายจ่ายอื่น'!BD47)</f>
        <v>1077284</v>
      </c>
      <c r="E47" s="56">
        <f>SUM('1.งบบุคลากร'!E47+'2.งบดำเนินงาน'!Q47+'3.งบลงทุน'!E47+'4.งบอุดหนุน'!E47+'5.งบรายจ่ายอื่น'!BE47)</f>
        <v>2860793.5300000003</v>
      </c>
      <c r="F47" s="56">
        <f>SUM('1.งบบุคลากร'!F47+'2.งบดำเนินงาน'!R47+'3.งบลงทุน'!F47+'4.งบอุดหนุน'!F47+'5.งบรายจ่ายอื่น'!BF47)</f>
        <v>103028236.47</v>
      </c>
      <c r="G47" s="56">
        <f t="shared" si="2"/>
        <v>2.6744807996281894</v>
      </c>
      <c r="H47" s="69"/>
    </row>
    <row r="48" spans="1:8" s="70" customFormat="1" x14ac:dyDescent="0.55000000000000004">
      <c r="A48" s="57">
        <v>42</v>
      </c>
      <c r="B48" s="58" t="s">
        <v>46</v>
      </c>
      <c r="C48" s="56">
        <f>SUM('1.งบบุคลากร'!C48+'2.งบดำเนินงาน'!O48+'3.งบลงทุน'!C48+'4.งบอุดหนุน'!C48+'5.งบรายจ่ายอื่น'!BC48)</f>
        <v>12973809</v>
      </c>
      <c r="D48" s="56">
        <f>SUM('1.งบบุคลากร'!D48+'2.งบดำเนินงาน'!P48+'3.งบลงทุน'!D48+'4.งบอุดหนุน'!D48+'5.งบรายจ่ายอื่น'!BD48)</f>
        <v>631650</v>
      </c>
      <c r="E48" s="56">
        <f>SUM('1.งบบุคลากร'!E48+'2.งบดำเนินงาน'!Q48+'3.งบลงทุน'!E48+'4.งบอุดหนุน'!E48+'5.งบรายจ่ายอื่น'!BE48)</f>
        <v>3936413.29</v>
      </c>
      <c r="F48" s="56">
        <f>SUM('1.งบบุคลากร'!F48+'2.งบดำเนินงาน'!R48+'3.งบลงทุน'!F48+'4.งบอุดหนุน'!F48+'5.งบรายจ่ายอื่น'!BF48)</f>
        <v>8405745.7100000009</v>
      </c>
      <c r="G48" s="56">
        <f t="shared" si="2"/>
        <v>30.341230474411947</v>
      </c>
      <c r="H48" s="69"/>
    </row>
    <row r="49" spans="1:8" s="70" customFormat="1" x14ac:dyDescent="0.55000000000000004">
      <c r="A49" s="57">
        <v>43</v>
      </c>
      <c r="B49" s="58" t="s">
        <v>47</v>
      </c>
      <c r="C49" s="56">
        <f>SUM('1.งบบุคลากร'!C49+'2.งบดำเนินงาน'!O49+'3.งบลงทุน'!C49+'4.งบอุดหนุน'!C49+'5.งบรายจ่ายอื่น'!BC49)</f>
        <v>8645826</v>
      </c>
      <c r="D49" s="56">
        <f>SUM('1.งบบุคลากร'!D49+'2.งบดำเนินงาน'!P49+'3.งบลงทุน'!D49+'4.งบอุดหนุน'!D49+'5.งบรายจ่ายอื่น'!BD49)</f>
        <v>850888</v>
      </c>
      <c r="E49" s="56">
        <f>SUM('1.งบบุคลากร'!E49+'2.งบดำเนินงาน'!Q49+'3.งบลงทุน'!E49+'4.งบอุดหนุน'!E49+'5.งบรายจ่ายอื่น'!BE49)</f>
        <v>4920972.34</v>
      </c>
      <c r="F49" s="56">
        <f>SUM('1.งบบุคลากร'!F49+'2.งบดำเนินงาน'!R49+'3.งบลงทุน'!F49+'4.งบอุดหนุน'!F49+'5.งบรายจ่ายอื่น'!BF49)</f>
        <v>2873965.66</v>
      </c>
      <c r="G49" s="56">
        <f t="shared" si="2"/>
        <v>56.917318715412499</v>
      </c>
      <c r="H49" s="69"/>
    </row>
    <row r="50" spans="1:8" s="70" customFormat="1" ht="24.75" customHeight="1" x14ac:dyDescent="0.55000000000000004">
      <c r="A50" s="57">
        <v>44</v>
      </c>
      <c r="B50" s="58" t="s">
        <v>48</v>
      </c>
      <c r="C50" s="56">
        <f>SUM('1.งบบุคลากร'!C50+'2.งบดำเนินงาน'!O50+'3.งบลงทุน'!C50+'4.งบอุดหนุน'!C50+'5.งบรายจ่ายอื่น'!BC50)</f>
        <v>13908695</v>
      </c>
      <c r="D50" s="56">
        <f>SUM('1.งบบุคลากร'!D50+'2.งบดำเนินงาน'!P50+'3.งบลงทุน'!D50+'4.งบอุดหนุน'!D50+'5.งบรายจ่ายอื่น'!BD50)</f>
        <v>1620900</v>
      </c>
      <c r="E50" s="56">
        <f>SUM('1.งบบุคลากร'!E50+'2.งบดำเนินงาน'!Q50+'3.งบลงทุน'!E50+'4.งบอุดหนุน'!E50+'5.งบรายจ่ายอื่น'!BE50)</f>
        <v>4531368.1399999997</v>
      </c>
      <c r="F50" s="56">
        <f>SUM('1.งบบุคลากร'!F50+'2.งบดำเนินงาน'!R50+'3.งบลงทุน'!F50+'4.งบอุดหนุน'!F50+'5.งบรายจ่ายอื่น'!BF50)</f>
        <v>7756426.8599999994</v>
      </c>
      <c r="G50" s="56">
        <f t="shared" si="2"/>
        <v>32.579391093125558</v>
      </c>
      <c r="H50" s="69"/>
    </row>
    <row r="51" spans="1:8" s="70" customFormat="1" x14ac:dyDescent="0.55000000000000004">
      <c r="A51" s="57">
        <v>45</v>
      </c>
      <c r="B51" s="58" t="s">
        <v>49</v>
      </c>
      <c r="C51" s="56">
        <f>SUM('1.งบบุคลากร'!C51+'2.งบดำเนินงาน'!O51+'3.งบลงทุน'!C51+'4.งบอุดหนุน'!C51+'5.งบรายจ่ายอื่น'!BC51)</f>
        <v>7887809</v>
      </c>
      <c r="D51" s="56">
        <f>SUM('1.งบบุคลากร'!D51+'2.งบดำเนินงาน'!P51+'3.งบลงทุน'!D51+'4.งบอุดหนุน'!D51+'5.งบรายจ่ายอื่น'!BD51)</f>
        <v>451980</v>
      </c>
      <c r="E51" s="56">
        <f>SUM('1.งบบุคลากร'!E51+'2.งบดำเนินงาน'!Q51+'3.งบลงทุน'!E51+'4.งบอุดหนุน'!E51+'5.งบรายจ่ายอื่น'!BE51)</f>
        <v>4265973.8900000006</v>
      </c>
      <c r="F51" s="56">
        <f>SUM('1.งบบุคลากร'!F51+'2.งบดำเนินงาน'!R51+'3.งบลงทุน'!F51+'4.งบอุดหนุน'!F51+'5.งบรายจ่ายอื่น'!BF51)</f>
        <v>3169855.1100000003</v>
      </c>
      <c r="G51" s="56">
        <f t="shared" si="2"/>
        <v>54.083128660950088</v>
      </c>
      <c r="H51" s="69"/>
    </row>
    <row r="52" spans="1:8" s="70" customFormat="1" x14ac:dyDescent="0.55000000000000004">
      <c r="A52" s="57">
        <v>46</v>
      </c>
      <c r="B52" s="58" t="s">
        <v>50</v>
      </c>
      <c r="C52" s="56">
        <f>SUM('1.งบบุคลากร'!C52+'2.งบดำเนินงาน'!O52+'3.งบลงทุน'!C52+'4.งบอุดหนุน'!C52+'5.งบรายจ่ายอื่น'!BC52)</f>
        <v>13179955</v>
      </c>
      <c r="D52" s="56">
        <f>SUM('1.งบบุคลากร'!D52+'2.งบดำเนินงาน'!P52+'3.งบลงทุน'!D52+'4.งบอุดหนุน'!D52+'5.งบรายจ่ายอื่น'!BD52)</f>
        <v>0</v>
      </c>
      <c r="E52" s="56">
        <f>SUM('1.งบบุคลากร'!E52+'2.งบดำเนินงาน'!Q52+'3.งบลงทุน'!E52+'4.งบอุดหนุน'!E52+'5.งบรายจ่ายอื่น'!BE52)</f>
        <v>4408366.62</v>
      </c>
      <c r="F52" s="56">
        <f>SUM('1.งบบุคลากร'!F52+'2.งบดำเนินงาน'!R52+'3.งบลงทุน'!F52+'4.งบอุดหนุน'!F52+'5.งบรายจ่ายอื่น'!BF52)</f>
        <v>8771588.379999999</v>
      </c>
      <c r="G52" s="56">
        <f t="shared" si="2"/>
        <v>33.447508887549311</v>
      </c>
      <c r="H52" s="69"/>
    </row>
    <row r="53" spans="1:8" s="70" customFormat="1" x14ac:dyDescent="0.55000000000000004">
      <c r="A53" s="57">
        <v>47</v>
      </c>
      <c r="B53" s="58" t="s">
        <v>51</v>
      </c>
      <c r="C53" s="56">
        <f>SUM('1.งบบุคลากร'!C53+'2.งบดำเนินงาน'!O53+'3.งบลงทุน'!C53+'4.งบอุดหนุน'!C53+'5.งบรายจ่ายอื่น'!BC53)</f>
        <v>29399032</v>
      </c>
      <c r="D53" s="56">
        <f>SUM('1.งบบุคลากร'!D53+'2.งบดำเนินงาน'!P53+'3.งบลงทุน'!D53+'4.งบอุดหนุน'!D53+'5.งบรายจ่ายอื่น'!BD53)</f>
        <v>1891359.98</v>
      </c>
      <c r="E53" s="56">
        <f>SUM('1.งบบุคลากร'!E53+'2.งบดำเนินงาน'!Q53+'3.งบลงทุน'!E53+'4.งบอุดหนุน'!E53+'5.งบรายจ่ายอื่น'!BE53)</f>
        <v>4308283.2799999993</v>
      </c>
      <c r="F53" s="56">
        <f>SUM('1.งบบุคลากร'!F53+'2.งบดำเนินงาน'!R53+'3.งบลงทุน'!F53+'4.งบอุดหนุน'!F53+'5.งบรายจ่ายอื่น'!BF53)</f>
        <v>23199388.739999998</v>
      </c>
      <c r="G53" s="56">
        <f t="shared" si="2"/>
        <v>14.654507264048691</v>
      </c>
      <c r="H53" s="69"/>
    </row>
    <row r="54" spans="1:8" s="70" customFormat="1" x14ac:dyDescent="0.55000000000000004">
      <c r="A54" s="57">
        <v>48</v>
      </c>
      <c r="B54" s="58" t="s">
        <v>52</v>
      </c>
      <c r="C54" s="56">
        <f>SUM('1.งบบุคลากร'!C54+'2.งบดำเนินงาน'!O54+'3.งบลงทุน'!C54+'4.งบอุดหนุน'!C54+'5.งบรายจ่ายอื่น'!BC54)</f>
        <v>10362326</v>
      </c>
      <c r="D54" s="56">
        <f>SUM('1.งบบุคลากร'!D54+'2.งบดำเนินงาน'!P54+'3.งบลงทุน'!D54+'4.งบอุดหนุน'!D54+'5.งบรายจ่ายอื่น'!BD54)</f>
        <v>1536038</v>
      </c>
      <c r="E54" s="56">
        <f>SUM('1.งบบุคลากร'!E54+'2.งบดำเนินงาน'!Q54+'3.งบลงทุน'!E54+'4.งบอุดหนุน'!E54+'5.งบรายจ่ายอื่น'!BE54)</f>
        <v>5509859.5499999998</v>
      </c>
      <c r="F54" s="56">
        <f>SUM('1.งบบุคลากร'!F54+'2.งบดำเนินงาน'!R54+'3.งบลงทุน'!F54+'4.งบอุดหนุน'!F54+'5.งบรายจ่ายอื่น'!BF54)</f>
        <v>3316428.45</v>
      </c>
      <c r="G54" s="56">
        <f t="shared" si="2"/>
        <v>53.172034444776202</v>
      </c>
      <c r="H54" s="69"/>
    </row>
    <row r="55" spans="1:8" s="70" customFormat="1" x14ac:dyDescent="0.55000000000000004">
      <c r="A55" s="57">
        <v>49</v>
      </c>
      <c r="B55" s="58" t="s">
        <v>53</v>
      </c>
      <c r="C55" s="56">
        <f>SUM('1.งบบุคลากร'!C55+'2.งบดำเนินงาน'!O55+'3.งบลงทุน'!C55+'4.งบอุดหนุน'!C55+'5.งบรายจ่ายอื่น'!BC55)</f>
        <v>21830262</v>
      </c>
      <c r="D55" s="56">
        <f>SUM('1.งบบุคลากร'!D55+'2.งบดำเนินงาน'!P55+'3.งบลงทุน'!D55+'4.งบอุดหนุน'!D55+'5.งบรายจ่ายอื่น'!BD55)</f>
        <v>528000</v>
      </c>
      <c r="E55" s="56">
        <f>SUM('1.งบบุคลากร'!E55+'2.งบดำเนินงาน'!Q55+'3.งบลงทุน'!E55+'4.งบอุดหนุน'!E55+'5.งบรายจ่ายอื่น'!BE55)</f>
        <v>17555980.52</v>
      </c>
      <c r="F55" s="56">
        <f>SUM('1.งบบุคลากร'!F55+'2.งบดำเนินงาน'!R55+'3.งบลงทุน'!F55+'4.งบอุดหนุน'!F55+'5.งบรายจ่ายอื่น'!BF55)</f>
        <v>3746281.48</v>
      </c>
      <c r="G55" s="56">
        <f t="shared" si="2"/>
        <v>80.420383960577297</v>
      </c>
      <c r="H55" s="69"/>
    </row>
    <row r="56" spans="1:8" s="70" customFormat="1" x14ac:dyDescent="0.55000000000000004">
      <c r="A56" s="57">
        <v>50</v>
      </c>
      <c r="B56" s="58" t="s">
        <v>54</v>
      </c>
      <c r="C56" s="56">
        <f>SUM('1.งบบุคลากร'!C56+'2.งบดำเนินงาน'!O56+'3.งบลงทุน'!C56+'4.งบอุดหนุน'!C56+'5.งบรายจ่ายอื่น'!BC56)</f>
        <v>10135170</v>
      </c>
      <c r="D56" s="56">
        <f>SUM('1.งบบุคลากร'!D56+'2.งบดำเนินงาน'!P56+'3.งบลงทุน'!D56+'4.งบอุดหนุน'!D56+'5.งบรายจ่ายอื่น'!BD56)</f>
        <v>450000</v>
      </c>
      <c r="E56" s="56">
        <f>SUM('1.งบบุคลากร'!E56+'2.งบดำเนินงาน'!Q56+'3.งบลงทุน'!E56+'4.งบอุดหนุน'!E56+'5.งบรายจ่ายอื่น'!BE56)</f>
        <v>5119521.9600000009</v>
      </c>
      <c r="F56" s="56">
        <f>SUM('1.งบบุคลากร'!F56+'2.งบดำเนินงาน'!R56+'3.งบลงทุน'!F56+'4.งบอุดหนุน'!F56+'5.งบรายจ่ายอื่น'!BF56)</f>
        <v>4565648.0399999991</v>
      </c>
      <c r="G56" s="56">
        <f t="shared" si="2"/>
        <v>50.512442909196402</v>
      </c>
      <c r="H56" s="69"/>
    </row>
    <row r="57" spans="1:8" s="70" customFormat="1" x14ac:dyDescent="0.55000000000000004">
      <c r="A57" s="57">
        <v>51</v>
      </c>
      <c r="B57" s="58" t="s">
        <v>55</v>
      </c>
      <c r="C57" s="56">
        <f>SUM('1.งบบุคลากร'!C57+'2.งบดำเนินงาน'!O57+'3.งบลงทุน'!C57+'4.งบอุดหนุน'!C57+'5.งบรายจ่ายอื่น'!BC57)</f>
        <v>9347236</v>
      </c>
      <c r="D57" s="56">
        <f>SUM('1.งบบุคลากร'!D57+'2.งบดำเนินงาน'!P57+'3.งบลงทุน'!D57+'4.งบอุดหนุน'!D57+'5.งบรายจ่ายอื่น'!BD57)</f>
        <v>1926333</v>
      </c>
      <c r="E57" s="56">
        <f>SUM('1.งบบุคลากร'!E57+'2.งบดำเนินงาน'!Q57+'3.งบลงทุน'!E57+'4.งบอุดหนุน'!E57+'5.งบรายจ่ายอื่น'!BE57)</f>
        <v>3793407.5600000005</v>
      </c>
      <c r="F57" s="56">
        <f>SUM('1.งบบุคลากร'!F57+'2.งบดำเนินงาน'!R57+'3.งบลงทุน'!F57+'4.งบอุดหนุน'!F57+'5.งบรายจ่ายอื่น'!BF57)</f>
        <v>3627495.4399999995</v>
      </c>
      <c r="G57" s="56">
        <f t="shared" si="2"/>
        <v>40.583200852102166</v>
      </c>
      <c r="H57" s="69"/>
    </row>
    <row r="58" spans="1:8" s="70" customFormat="1" x14ac:dyDescent="0.55000000000000004">
      <c r="A58" s="57">
        <v>52</v>
      </c>
      <c r="B58" s="58" t="s">
        <v>56</v>
      </c>
      <c r="C58" s="56">
        <f>SUM('1.งบบุคลากร'!C58+'2.งบดำเนินงาน'!O58+'3.งบลงทุน'!C58+'4.งบอุดหนุน'!C58+'5.งบรายจ่ายอื่น'!BC58)</f>
        <v>8657546</v>
      </c>
      <c r="D58" s="56">
        <f>SUM('1.งบบุคลากร'!D58+'2.งบดำเนินงาน'!P58+'3.งบลงทุน'!D58+'4.งบอุดหนุน'!D58+'5.งบรายจ่ายอื่น'!BD58)</f>
        <v>2649358.75</v>
      </c>
      <c r="E58" s="56">
        <f>SUM('1.งบบุคลากร'!E58+'2.งบดำเนินงาน'!Q58+'3.งบลงทุน'!E58+'4.งบอุดหนุน'!E58+'5.งบรายจ่ายอื่น'!BE58)</f>
        <v>3899694.01</v>
      </c>
      <c r="F58" s="56">
        <f>SUM('1.งบบุคลากร'!F58+'2.งบดำเนินงาน'!R58+'3.งบลงทุน'!F58+'4.งบอุดหนุน'!F58+'5.งบรายจ่ายอื่น'!BF58)</f>
        <v>2108493.2400000002</v>
      </c>
      <c r="G58" s="56">
        <f t="shared" si="2"/>
        <v>45.043872824932144</v>
      </c>
      <c r="H58" s="69"/>
    </row>
    <row r="59" spans="1:8" s="70" customFormat="1" x14ac:dyDescent="0.55000000000000004">
      <c r="A59" s="57">
        <v>53</v>
      </c>
      <c r="B59" s="58" t="s">
        <v>57</v>
      </c>
      <c r="C59" s="56">
        <f>SUM('1.งบบุคลากร'!C59+'2.งบดำเนินงาน'!O59+'3.งบลงทุน'!C59+'4.งบอุดหนุน'!C59+'5.งบรายจ่ายอื่น'!BC59)</f>
        <v>24053149</v>
      </c>
      <c r="D59" s="56">
        <f>SUM('1.งบบุคลากร'!D59+'2.งบดำเนินงาน'!P59+'3.งบลงทุน'!D59+'4.งบอุดหนุน'!D59+'5.งบรายจ่ายอื่น'!BD59)</f>
        <v>0</v>
      </c>
      <c r="E59" s="56">
        <f>SUM('1.งบบุคลากร'!E59+'2.งบดำเนินงาน'!Q59+'3.งบลงทุน'!E59+'4.งบอุดหนุน'!E59+'5.งบรายจ่ายอื่น'!BE59)</f>
        <v>6459472.8100000005</v>
      </c>
      <c r="F59" s="56">
        <f>SUM('1.งบบุคลากร'!F59+'2.งบดำเนินงาน'!R59+'3.งบลงทุน'!F59+'4.งบอุดหนุน'!F59+'5.งบรายจ่ายอื่น'!BF59)</f>
        <v>17593676.190000001</v>
      </c>
      <c r="G59" s="56">
        <f t="shared" si="2"/>
        <v>26.854998528467103</v>
      </c>
      <c r="H59" s="69"/>
    </row>
    <row r="60" spans="1:8" s="70" customFormat="1" x14ac:dyDescent="0.55000000000000004">
      <c r="A60" s="57">
        <v>54</v>
      </c>
      <c r="B60" s="58" t="s">
        <v>58</v>
      </c>
      <c r="C60" s="56">
        <f>SUM('1.งบบุคลากร'!C60+'2.งบดำเนินงาน'!O60+'3.งบลงทุน'!C60+'4.งบอุดหนุน'!C60+'5.งบรายจ่ายอื่น'!BC60)</f>
        <v>9750690</v>
      </c>
      <c r="D60" s="56">
        <f>SUM('1.งบบุคลากร'!D60+'2.งบดำเนินงาน'!P60+'3.งบลงทุน'!D60+'4.งบอุดหนุน'!D60+'5.งบรายจ่ายอื่น'!BD60)</f>
        <v>222112.5</v>
      </c>
      <c r="E60" s="56">
        <f>SUM('1.งบบุคลากร'!E60+'2.งบดำเนินงาน'!Q60+'3.งบลงทุน'!E60+'4.งบอุดหนุน'!E60+'5.งบรายจ่ายอื่น'!BE60)</f>
        <v>4949696.04</v>
      </c>
      <c r="F60" s="56">
        <f>SUM('1.งบบุคลากร'!F60+'2.งบดำเนินงาน'!R60+'3.งบลงทุน'!F60+'4.งบอุดหนุน'!F60+'5.งบรายจ่ายอื่น'!BF60)</f>
        <v>4578881.46</v>
      </c>
      <c r="G60" s="56">
        <f t="shared" si="2"/>
        <v>50.762520806219868</v>
      </c>
      <c r="H60" s="69"/>
    </row>
    <row r="61" spans="1:8" s="70" customFormat="1" x14ac:dyDescent="0.55000000000000004">
      <c r="A61" s="57">
        <v>55</v>
      </c>
      <c r="B61" s="58" t="s">
        <v>59</v>
      </c>
      <c r="C61" s="56">
        <f>SUM('1.งบบุคลากร'!C61+'2.งบดำเนินงาน'!O61+'3.งบลงทุน'!C61+'4.งบอุดหนุน'!C61+'5.งบรายจ่ายอื่น'!BC61)</f>
        <v>10749907</v>
      </c>
      <c r="D61" s="56">
        <f>SUM('1.งบบุคลากร'!D61+'2.งบดำเนินงาน'!P61+'3.งบลงทุน'!D61+'4.งบอุดหนุน'!D61+'5.งบรายจ่ายอื่น'!BD61)</f>
        <v>2140</v>
      </c>
      <c r="E61" s="56">
        <f>SUM('1.งบบุคลากร'!E61+'2.งบดำเนินงาน'!Q61+'3.งบลงทุน'!E61+'4.งบอุดหนุน'!E61+'5.งบรายจ่ายอื่น'!BE61)</f>
        <v>4048185.34</v>
      </c>
      <c r="F61" s="56">
        <f>SUM('1.งบบุคลากร'!F61+'2.งบดำเนินงาน'!R61+'3.งบลงทุน'!F61+'4.งบอุดหนุน'!F61+'5.งบรายจ่ายอื่น'!BF61)</f>
        <v>6699581.6600000001</v>
      </c>
      <c r="G61" s="56">
        <f t="shared" si="2"/>
        <v>37.657863830821981</v>
      </c>
      <c r="H61" s="69"/>
    </row>
    <row r="62" spans="1:8" s="70" customFormat="1" x14ac:dyDescent="0.55000000000000004">
      <c r="A62" s="57">
        <v>56</v>
      </c>
      <c r="B62" s="58" t="s">
        <v>60</v>
      </c>
      <c r="C62" s="56">
        <f>SUM('1.งบบุคลากร'!C62+'2.งบดำเนินงาน'!O62+'3.งบลงทุน'!C62+'4.งบอุดหนุน'!C62+'5.งบรายจ่ายอื่น'!BC62)</f>
        <v>10889068</v>
      </c>
      <c r="D62" s="56">
        <f>SUM('1.งบบุคลากร'!D62+'2.งบดำเนินงาน'!P62+'3.งบลงทุน'!D62+'4.งบอุดหนุน'!D62+'5.งบรายจ่ายอื่น'!BD62)</f>
        <v>1572000</v>
      </c>
      <c r="E62" s="56">
        <f>SUM('1.งบบุคลากร'!E62+'2.งบดำเนินงาน'!Q62+'3.งบลงทุน'!E62+'4.งบอุดหนุน'!E62+'5.งบรายจ่ายอื่น'!BE62)</f>
        <v>5311705.07</v>
      </c>
      <c r="F62" s="56">
        <f>SUM('1.งบบุคลากร'!F62+'2.งบดำเนินงาน'!R62+'3.งบลงทุน'!F62+'4.งบอุดหนุน'!F62+'5.งบรายจ่ายอื่น'!BF62)</f>
        <v>4005362.9299999997</v>
      </c>
      <c r="G62" s="56">
        <f t="shared" si="2"/>
        <v>48.780162544673246</v>
      </c>
      <c r="H62" s="69"/>
    </row>
    <row r="63" spans="1:8" s="70" customFormat="1" x14ac:dyDescent="0.55000000000000004">
      <c r="A63" s="57">
        <v>57</v>
      </c>
      <c r="B63" s="58" t="s">
        <v>61</v>
      </c>
      <c r="C63" s="56">
        <f>SUM('1.งบบุคลากร'!C63+'2.งบดำเนินงาน'!O63+'3.งบลงทุน'!C63+'4.งบอุดหนุน'!C63+'5.งบรายจ่ายอื่น'!BC63)</f>
        <v>29396248</v>
      </c>
      <c r="D63" s="56">
        <f>SUM('1.งบบุคลากร'!D63+'2.งบดำเนินงาน'!P63+'3.งบลงทุน'!D63+'4.งบอุดหนุน'!D63+'5.งบรายจ่ายอื่น'!BD63)</f>
        <v>5684940</v>
      </c>
      <c r="E63" s="56">
        <f>SUM('1.งบบุคลากร'!E63+'2.งบดำเนินงาน'!Q63+'3.งบลงทุน'!E63+'4.งบอุดหนุน'!E63+'5.งบรายจ่ายอื่น'!BE63)</f>
        <v>14272533.92</v>
      </c>
      <c r="F63" s="56">
        <f>SUM('1.งบบุคลากร'!F63+'2.งบดำเนินงาน'!R63+'3.งบลงทุน'!F63+'4.งบอุดหนุน'!F63+'5.งบรายจ่ายอื่น'!BF63)</f>
        <v>9438774.0800000001</v>
      </c>
      <c r="G63" s="56">
        <f t="shared" si="2"/>
        <v>48.552229930840156</v>
      </c>
      <c r="H63" s="69"/>
    </row>
    <row r="64" spans="1:8" s="70" customFormat="1" x14ac:dyDescent="0.55000000000000004">
      <c r="A64" s="57">
        <v>58</v>
      </c>
      <c r="B64" s="58" t="s">
        <v>62</v>
      </c>
      <c r="C64" s="56">
        <f>SUM('1.งบบุคลากร'!C64+'2.งบดำเนินงาน'!O64+'3.งบลงทุน'!C64+'4.งบอุดหนุน'!C64+'5.งบรายจ่ายอื่น'!BC64)</f>
        <v>8138554</v>
      </c>
      <c r="D64" s="56">
        <f>SUM('1.งบบุคลากร'!D64+'2.งบดำเนินงาน'!P64+'3.งบลงทุน'!D64+'4.งบอุดหนุน'!D64+'5.งบรายจ่ายอื่น'!BD64)</f>
        <v>24000</v>
      </c>
      <c r="E64" s="56">
        <f>SUM('1.งบบุคลากร'!E64+'2.งบดำเนินงาน'!Q64+'3.งบลงทุน'!E64+'4.งบอุดหนุน'!E64+'5.งบรายจ่ายอื่น'!BE64)</f>
        <v>3361971.8699999996</v>
      </c>
      <c r="F64" s="56">
        <f>SUM('1.งบบุคลากร'!F64+'2.งบดำเนินงาน'!R64+'3.งบลงทุน'!F64+'4.งบอุดหนุน'!F64+'5.งบรายจ่ายอื่น'!BF64)</f>
        <v>4752582.1300000008</v>
      </c>
      <c r="G64" s="56">
        <f t="shared" si="2"/>
        <v>41.309203944582777</v>
      </c>
      <c r="H64" s="69"/>
    </row>
    <row r="65" spans="1:8" s="70" customFormat="1" x14ac:dyDescent="0.55000000000000004">
      <c r="A65" s="57">
        <v>59</v>
      </c>
      <c r="B65" s="58" t="s">
        <v>63</v>
      </c>
      <c r="C65" s="56">
        <f>SUM('1.งบบุคลากร'!C65+'2.งบดำเนินงาน'!O65+'3.งบลงทุน'!C65+'4.งบอุดหนุน'!C65+'5.งบรายจ่ายอื่น'!BC65)</f>
        <v>11999057</v>
      </c>
      <c r="D65" s="56">
        <f>SUM('1.งบบุคลากร'!D65+'2.งบดำเนินงาน'!P65+'3.งบลงทุน'!D65+'4.งบอุดหนุน'!D65+'5.งบรายจ่ายอื่น'!BD65)</f>
        <v>1038775</v>
      </c>
      <c r="E65" s="56">
        <f>SUM('1.งบบุคลากร'!E65+'2.งบดำเนินงาน'!Q65+'3.งบลงทุน'!E65+'4.งบอุดหนุน'!E65+'5.งบรายจ่ายอื่น'!BE65)</f>
        <v>3439049.0300000003</v>
      </c>
      <c r="F65" s="56">
        <f>SUM('1.งบบุคลากร'!F65+'2.งบดำเนินงาน'!R65+'3.งบลงทุน'!F65+'4.งบอุดหนุน'!F65+'5.งบรายจ่ายอื่น'!BF65)</f>
        <v>7521232.9700000007</v>
      </c>
      <c r="G65" s="56">
        <f t="shared" si="2"/>
        <v>28.66099419312701</v>
      </c>
      <c r="H65" s="69"/>
    </row>
    <row r="66" spans="1:8" s="70" customFormat="1" x14ac:dyDescent="0.55000000000000004">
      <c r="A66" s="57">
        <v>60</v>
      </c>
      <c r="B66" s="58" t="s">
        <v>64</v>
      </c>
      <c r="C66" s="56">
        <f>SUM('1.งบบุคลากร'!C66+'2.งบดำเนินงาน'!O66+'3.งบลงทุน'!C66+'4.งบอุดหนุน'!C66+'5.งบรายจ่ายอื่น'!BC66)</f>
        <v>8359550</v>
      </c>
      <c r="D66" s="56">
        <f>SUM('1.งบบุคลากร'!D66+'2.งบดำเนินงาน'!P66+'3.งบลงทุน'!D66+'4.งบอุดหนุน'!D66+'5.งบรายจ่ายอื่น'!BD66)</f>
        <v>518000</v>
      </c>
      <c r="E66" s="56">
        <f>SUM('1.งบบุคลากร'!E66+'2.งบดำเนินงาน'!Q66+'3.งบลงทุน'!E66+'4.งบอุดหนุน'!E66+'5.งบรายจ่ายอื่น'!BE66)</f>
        <v>3839155.79</v>
      </c>
      <c r="F66" s="56">
        <f>SUM('1.งบบุคลากร'!F66+'2.งบดำเนินงาน'!R66+'3.งบลงทุน'!F66+'4.งบอุดหนุน'!F66+'5.งบรายจ่ายอื่น'!BF66)</f>
        <v>4002394.21</v>
      </c>
      <c r="G66" s="56">
        <f t="shared" si="2"/>
        <v>45.925388208695445</v>
      </c>
      <c r="H66" s="69"/>
    </row>
    <row r="67" spans="1:8" s="70" customFormat="1" x14ac:dyDescent="0.55000000000000004">
      <c r="A67" s="57">
        <v>61</v>
      </c>
      <c r="B67" s="58" t="s">
        <v>65</v>
      </c>
      <c r="C67" s="56">
        <f>SUM('1.งบบุคลากร'!C67+'2.งบดำเนินงาน'!O67+'3.งบลงทุน'!C67+'4.งบอุดหนุน'!C67+'5.งบรายจ่ายอื่น'!BC67)</f>
        <v>19265528</v>
      </c>
      <c r="D67" s="56">
        <f>SUM('1.งบบุคลากร'!D67+'2.งบดำเนินงาน'!P67+'3.งบลงทุน'!D67+'4.งบอุดหนุน'!D67+'5.งบรายจ่ายอื่น'!BD67)</f>
        <v>9112756.0199999996</v>
      </c>
      <c r="E67" s="56">
        <f>SUM('1.งบบุคลากร'!E67+'2.งบดำเนินงาน'!Q67+'3.งบลงทุน'!E67+'4.งบอุดหนุน'!E67+'5.งบรายจ่ายอื่น'!BE67)</f>
        <v>6476422.25</v>
      </c>
      <c r="F67" s="56">
        <f>SUM('1.งบบุคลากร'!F67+'2.งบดำเนินงาน'!R67+'3.งบลงทุน'!F67+'4.งบอุดหนุน'!F67+'5.งบรายจ่ายอื่น'!BF67)</f>
        <v>3676349.7300000004</v>
      </c>
      <c r="G67" s="56">
        <f t="shared" si="2"/>
        <v>33.616635111168506</v>
      </c>
      <c r="H67" s="69"/>
    </row>
    <row r="68" spans="1:8" s="70" customFormat="1" x14ac:dyDescent="0.55000000000000004">
      <c r="A68" s="57">
        <v>62</v>
      </c>
      <c r="B68" s="58" t="s">
        <v>66</v>
      </c>
      <c r="C68" s="56">
        <f>SUM('1.งบบุคลากร'!C68+'2.งบดำเนินงาน'!O68+'3.งบลงทุน'!C68+'4.งบอุดหนุน'!C68+'5.งบรายจ่ายอื่น'!BC68)</f>
        <v>9523406</v>
      </c>
      <c r="D68" s="56">
        <f>SUM('1.งบบุคลากร'!D68+'2.งบดำเนินงาน'!P68+'3.งบลงทุน'!D68+'4.งบอุดหนุน'!D68+'5.งบรายจ่ายอื่น'!BD68)</f>
        <v>23644.86</v>
      </c>
      <c r="E68" s="56">
        <f>SUM('1.งบบุคลากร'!E68+'2.งบดำเนินงาน'!Q68+'3.งบลงทุน'!E68+'4.งบอุดหนุน'!E68+'5.งบรายจ่ายอื่น'!BE68)</f>
        <v>5365384.88</v>
      </c>
      <c r="F68" s="56">
        <f>SUM('1.งบบุคลากร'!F68+'2.งบดำเนินงาน'!R68+'3.งบลงทุน'!F68+'4.งบอุดหนุน'!F68+'5.งบรายจ่ายอื่น'!BF68)</f>
        <v>4134376.26</v>
      </c>
      <c r="G68" s="56">
        <f t="shared" si="2"/>
        <v>56.338928320392938</v>
      </c>
      <c r="H68" s="69"/>
    </row>
    <row r="69" spans="1:8" s="70" customFormat="1" x14ac:dyDescent="0.55000000000000004">
      <c r="A69" s="57">
        <v>63</v>
      </c>
      <c r="B69" s="58" t="s">
        <v>67</v>
      </c>
      <c r="C69" s="56">
        <f>SUM('1.งบบุคลากร'!C69+'2.งบดำเนินงาน'!O69+'3.งบลงทุน'!C69+'4.งบอุดหนุน'!C69+'5.งบรายจ่ายอื่น'!BC69)</f>
        <v>9187334</v>
      </c>
      <c r="D69" s="56">
        <f>SUM('1.งบบุคลากร'!D69+'2.งบดำเนินงาน'!P69+'3.งบลงทุน'!D69+'4.งบอุดหนุน'!D69+'5.งบรายจ่ายอื่น'!BD69)</f>
        <v>85742</v>
      </c>
      <c r="E69" s="56">
        <f>SUM('1.งบบุคลากร'!E69+'2.งบดำเนินงาน'!Q69+'3.งบลงทุน'!E69+'4.งบอุดหนุน'!E69+'5.งบรายจ่ายอื่น'!BE69)</f>
        <v>3645593.0599999996</v>
      </c>
      <c r="F69" s="56">
        <f>SUM('1.งบบุคลากร'!F69+'2.งบดำเนินงาน'!R69+'3.งบลงทุน'!F69+'4.งบอุดหนุน'!F69+'5.งบรายจ่ายอื่น'!BF69)</f>
        <v>5455998.9400000004</v>
      </c>
      <c r="G69" s="56">
        <f t="shared" si="2"/>
        <v>39.680641413493831</v>
      </c>
      <c r="H69" s="69"/>
    </row>
    <row r="70" spans="1:8" s="70" customFormat="1" x14ac:dyDescent="0.55000000000000004">
      <c r="A70" s="57">
        <v>64</v>
      </c>
      <c r="B70" s="58" t="s">
        <v>68</v>
      </c>
      <c r="C70" s="56">
        <f>SUM('1.งบบุคลากร'!C70+'2.งบดำเนินงาน'!O70+'3.งบลงทุน'!C70+'4.งบอุดหนุน'!C70+'5.งบรายจ่ายอื่น'!BC70)</f>
        <v>22464362</v>
      </c>
      <c r="D70" s="56">
        <f>SUM('1.งบบุคลากร'!D70+'2.งบดำเนินงาน'!P70+'3.งบลงทุน'!D70+'4.งบอุดหนุน'!D70+'5.งบรายจ่ายอื่น'!BD70)</f>
        <v>0</v>
      </c>
      <c r="E70" s="56">
        <f>SUM('1.งบบุคลากร'!E70+'2.งบดำเนินงาน'!Q70+'3.งบลงทุน'!E70+'4.งบอุดหนุน'!E70+'5.งบรายจ่ายอื่น'!BE70)</f>
        <v>2152856.4700000002</v>
      </c>
      <c r="F70" s="56">
        <f>SUM('1.งบบุคลากร'!F70+'2.งบดำเนินงาน'!R70+'3.งบลงทุน'!F70+'4.งบอุดหนุน'!F70+'5.งบรายจ่ายอื่น'!BF70)</f>
        <v>20311505.529999997</v>
      </c>
      <c r="G70" s="56">
        <f t="shared" ref="G70:G82" si="3">SUM(E70*100/C70)</f>
        <v>9.583430279480007</v>
      </c>
      <c r="H70" s="69"/>
    </row>
    <row r="71" spans="1:8" s="70" customFormat="1" x14ac:dyDescent="0.55000000000000004">
      <c r="A71" s="57">
        <v>65</v>
      </c>
      <c r="B71" s="58" t="s">
        <v>69</v>
      </c>
      <c r="C71" s="56">
        <f>SUM('1.งบบุคลากร'!C71+'2.งบดำเนินงาน'!O71+'3.งบลงทุน'!C71+'4.งบอุดหนุน'!C71+'5.งบรายจ่ายอื่น'!BC71)</f>
        <v>81034139</v>
      </c>
      <c r="D71" s="56">
        <f>SUM('1.งบบุคลากร'!D71+'2.งบดำเนินงาน'!P71+'3.งบลงทุน'!D71+'4.งบอุดหนุน'!D71+'5.งบรายจ่ายอื่น'!BD71)</f>
        <v>999313</v>
      </c>
      <c r="E71" s="56">
        <f>SUM('1.งบบุคลากร'!E71+'2.งบดำเนินงาน'!Q71+'3.งบลงทุน'!E71+'4.งบอุดหนุน'!E71+'5.งบรายจ่ายอื่น'!BE71)</f>
        <v>54978575.009999998</v>
      </c>
      <c r="F71" s="56">
        <f>SUM('1.งบบุคลากร'!F71+'2.งบดำเนินงาน'!R71+'3.งบลงทุน'!F71+'4.งบอุดหนุน'!F71+'5.งบรายจ่ายอื่น'!BF71)</f>
        <v>25056250.989999998</v>
      </c>
      <c r="G71" s="56">
        <f t="shared" si="3"/>
        <v>67.846188888364694</v>
      </c>
      <c r="H71" s="69"/>
    </row>
    <row r="72" spans="1:8" s="70" customFormat="1" x14ac:dyDescent="0.55000000000000004">
      <c r="A72" s="57">
        <v>66</v>
      </c>
      <c r="B72" s="58" t="s">
        <v>70</v>
      </c>
      <c r="C72" s="56">
        <f>SUM('1.งบบุคลากร'!C72+'2.งบดำเนินงาน'!O72+'3.งบลงทุน'!C72+'4.งบอุดหนุน'!C72+'5.งบรายจ่ายอื่น'!BC72)</f>
        <v>11322262</v>
      </c>
      <c r="D72" s="56">
        <f>SUM('1.งบบุคลากร'!D72+'2.งบดำเนินงาน'!P72+'3.งบลงทุน'!D72+'4.งบอุดหนุน'!D72+'5.งบรายจ่ายอื่น'!BD72)</f>
        <v>390750</v>
      </c>
      <c r="E72" s="56">
        <f>SUM('1.งบบุคลากร'!E72+'2.งบดำเนินงาน'!Q72+'3.งบลงทุน'!E72+'4.งบอุดหนุน'!E72+'5.งบรายจ่ายอื่น'!BE72)</f>
        <v>6510660.6099999994</v>
      </c>
      <c r="F72" s="56">
        <f>SUM('1.งบบุคลากร'!F72+'2.งบดำเนินงาน'!R72+'3.งบลงทุน'!F72+'4.งบอุดหนุน'!F72+'5.งบรายจ่ายอื่น'!BF72)</f>
        <v>4420851.3900000006</v>
      </c>
      <c r="G72" s="56">
        <f t="shared" si="3"/>
        <v>57.503179223374268</v>
      </c>
      <c r="H72" s="69"/>
    </row>
    <row r="73" spans="1:8" s="70" customFormat="1" x14ac:dyDescent="0.55000000000000004">
      <c r="A73" s="57">
        <v>67</v>
      </c>
      <c r="B73" s="58" t="s">
        <v>71</v>
      </c>
      <c r="C73" s="56">
        <f>SUM('1.งบบุคลากร'!C73+'2.งบดำเนินงาน'!O73+'3.งบลงทุน'!C73+'4.งบอุดหนุน'!C73+'5.งบรายจ่ายอื่น'!BC73)</f>
        <v>9157948</v>
      </c>
      <c r="D73" s="56">
        <f>SUM('1.งบบุคลากร'!D73+'2.งบดำเนินงาน'!P73+'3.งบลงทุน'!D73+'4.งบอุดหนุน'!D73+'5.งบรายจ่ายอื่น'!BD73)</f>
        <v>2151043</v>
      </c>
      <c r="E73" s="56">
        <f>SUM('1.งบบุคลากร'!E73+'2.งบดำเนินงาน'!Q73+'3.งบลงทุน'!E73+'4.งบอุดหนุน'!E73+'5.งบรายจ่ายอื่น'!BE73)</f>
        <v>3778274.8500000006</v>
      </c>
      <c r="F73" s="56">
        <f>SUM('1.งบบุคลากร'!F73+'2.งบดำเนินงาน'!R73+'3.งบลงทุน'!F73+'4.งบอุดหนุน'!F73+'5.งบรายจ่ายอื่น'!BF73)</f>
        <v>3228630.1499999994</v>
      </c>
      <c r="G73" s="56">
        <f t="shared" si="3"/>
        <v>41.256784270886889</v>
      </c>
      <c r="H73" s="69"/>
    </row>
    <row r="74" spans="1:8" s="70" customFormat="1" x14ac:dyDescent="0.55000000000000004">
      <c r="A74" s="57">
        <v>68</v>
      </c>
      <c r="B74" s="58" t="s">
        <v>72</v>
      </c>
      <c r="C74" s="56">
        <f>SUM('1.งบบุคลากร'!C74+'2.งบดำเนินงาน'!O74+'3.งบลงทุน'!C74+'4.งบอุดหนุน'!C74+'5.งบรายจ่ายอื่น'!BC74)</f>
        <v>9797540</v>
      </c>
      <c r="D74" s="56">
        <f>SUM('1.งบบุคลากร'!D74+'2.งบดำเนินงาน'!P74+'3.งบลงทุน'!D74+'4.งบอุดหนุน'!D74+'5.งบรายจ่ายอื่น'!BD74)</f>
        <v>1594298</v>
      </c>
      <c r="E74" s="56">
        <f>SUM('1.งบบุคลากร'!E74+'2.งบดำเนินงาน'!Q74+'3.งบลงทุน'!E74+'4.งบอุดหนุน'!E74+'5.งบรายจ่ายอื่น'!BE74)</f>
        <v>5575155.6100000003</v>
      </c>
      <c r="F74" s="56">
        <f>SUM('1.งบบุคลากร'!F74+'2.งบดำเนินงาน'!R74+'3.งบลงทุน'!F74+'4.งบอุดหนุน'!F74+'5.งบรายจ่ายอื่น'!BF74)</f>
        <v>2628086.3899999997</v>
      </c>
      <c r="G74" s="56">
        <f t="shared" si="3"/>
        <v>56.903626930841824</v>
      </c>
      <c r="H74" s="69"/>
    </row>
    <row r="75" spans="1:8" s="70" customFormat="1" x14ac:dyDescent="0.55000000000000004">
      <c r="A75" s="57">
        <v>69</v>
      </c>
      <c r="B75" s="58" t="s">
        <v>73</v>
      </c>
      <c r="C75" s="56">
        <f>SUM('1.งบบุคลากร'!C75+'2.งบดำเนินงาน'!O75+'3.งบลงทุน'!C75+'4.งบอุดหนุน'!C75+'5.งบรายจ่ายอื่น'!BC75)</f>
        <v>41878995</v>
      </c>
      <c r="D75" s="56">
        <f>SUM('1.งบบุคลากร'!D75+'2.งบดำเนินงาน'!P75+'3.งบลงทุน'!D75+'4.งบอุดหนุน'!D75+'5.งบรายจ่ายอื่น'!BD75)</f>
        <v>10411252</v>
      </c>
      <c r="E75" s="56">
        <f>SUM('1.งบบุคลากร'!E75+'2.งบดำเนินงาน'!Q75+'3.งบลงทุน'!E75+'4.งบอุดหนุน'!E75+'5.งบรายจ่ายอื่น'!BE75)</f>
        <v>28071640.569999997</v>
      </c>
      <c r="F75" s="56">
        <f>SUM('1.งบบุคลากร'!F75+'2.งบดำเนินงาน'!R75+'3.งบลงทุน'!F75+'4.งบอุดหนุน'!F75+'5.งบรายจ่ายอื่น'!BF75)</f>
        <v>3396102.43</v>
      </c>
      <c r="G75" s="56">
        <f t="shared" si="3"/>
        <v>67.030358703689032</v>
      </c>
      <c r="H75" s="69"/>
    </row>
    <row r="76" spans="1:8" s="70" customFormat="1" x14ac:dyDescent="0.55000000000000004">
      <c r="A76" s="57">
        <v>70</v>
      </c>
      <c r="B76" s="58" t="s">
        <v>74</v>
      </c>
      <c r="C76" s="56">
        <f>SUM('1.งบบุคลากร'!C76+'2.งบดำเนินงาน'!O76+'3.งบลงทุน'!C76+'4.งบอุดหนุน'!C76+'5.งบรายจ่ายอื่น'!BC76)</f>
        <v>8522012</v>
      </c>
      <c r="D76" s="56">
        <f>SUM('1.งบบุคลากร'!D76+'2.งบดำเนินงาน'!P76+'3.งบลงทุน'!D76+'4.งบอุดหนุน'!D76+'5.งบรายจ่ายอื่น'!BD76)</f>
        <v>2585590</v>
      </c>
      <c r="E76" s="56">
        <f>SUM('1.งบบุคลากร'!E76+'2.งบดำเนินงาน'!Q76+'3.งบลงทุน'!E76+'4.งบอุดหนุน'!E76+'5.งบรายจ่ายอื่น'!BE76)</f>
        <v>3403957.17</v>
      </c>
      <c r="F76" s="56">
        <f>SUM('1.งบบุคลากร'!F76+'2.งบดำเนินงาน'!R76+'3.งบลงทุน'!F76+'4.งบอุดหนุน'!F76+'5.งบรายจ่ายอื่น'!BF76)</f>
        <v>2532464.83</v>
      </c>
      <c r="G76" s="56">
        <f t="shared" si="3"/>
        <v>39.943116367355501</v>
      </c>
      <c r="H76" s="69"/>
    </row>
    <row r="77" spans="1:8" s="70" customFormat="1" x14ac:dyDescent="0.55000000000000004">
      <c r="A77" s="57">
        <v>71</v>
      </c>
      <c r="B77" s="58" t="s">
        <v>75</v>
      </c>
      <c r="C77" s="56">
        <f>SUM('1.งบบุคลากร'!C77+'2.งบดำเนินงาน'!O77+'3.งบลงทุน'!C77+'4.งบอุดหนุน'!C77+'5.งบรายจ่ายอื่น'!BC77)</f>
        <v>17604772</v>
      </c>
      <c r="D77" s="56">
        <f>SUM('1.งบบุคลากร'!D77+'2.งบดำเนินงาน'!P77+'3.งบลงทุน'!D77+'4.งบอุดหนุน'!D77+'5.งบรายจ่ายอื่น'!BD77)</f>
        <v>992500</v>
      </c>
      <c r="E77" s="56">
        <f>SUM('1.งบบุคลากร'!E77+'2.งบดำเนินงาน'!Q77+'3.งบลงทุน'!E77+'4.งบอุดหนุน'!E77+'5.งบรายจ่ายอื่น'!BE77)</f>
        <v>3974131.58</v>
      </c>
      <c r="F77" s="56">
        <f>SUM('1.งบบุคลากร'!F77+'2.งบดำเนินงาน'!R77+'3.งบลงทุน'!F77+'4.งบอุดหนุน'!F77+'5.งบรายจ่ายอื่น'!BF77)</f>
        <v>12638140.42</v>
      </c>
      <c r="G77" s="56">
        <f t="shared" si="3"/>
        <v>22.574172389168119</v>
      </c>
      <c r="H77" s="69"/>
    </row>
    <row r="78" spans="1:8" s="70" customFormat="1" x14ac:dyDescent="0.55000000000000004">
      <c r="A78" s="57">
        <v>72</v>
      </c>
      <c r="B78" s="58" t="s">
        <v>76</v>
      </c>
      <c r="C78" s="56">
        <f>SUM('1.งบบุคลากร'!C78+'2.งบดำเนินงาน'!O78+'3.งบลงทุน'!C78+'4.งบอุดหนุน'!C78+'5.งบรายจ่ายอื่น'!BC78)</f>
        <v>8803169</v>
      </c>
      <c r="D78" s="56">
        <f>SUM('1.งบบุคลากร'!D78+'2.งบดำเนินงาน'!P78+'3.งบลงทุน'!D78+'4.งบอุดหนุน'!D78+'5.งบรายจ่ายอื่น'!BD78)</f>
        <v>30000</v>
      </c>
      <c r="E78" s="56">
        <f>SUM('1.งบบุคลากร'!E78+'2.งบดำเนินงาน'!Q78+'3.งบลงทุน'!E78+'4.งบอุดหนุน'!E78+'5.งบรายจ่ายอื่น'!BE78)</f>
        <v>4440667.62</v>
      </c>
      <c r="F78" s="56">
        <f>SUM('1.งบบุคลากร'!F78+'2.งบดำเนินงาน'!R78+'3.งบลงทุน'!F78+'4.งบอุดหนุน'!F78+'5.งบรายจ่ายอื่น'!BF78)</f>
        <v>4332501.38</v>
      </c>
      <c r="G78" s="56">
        <f t="shared" si="3"/>
        <v>50.44396648525094</v>
      </c>
      <c r="H78" s="69"/>
    </row>
    <row r="79" spans="1:8" s="70" customFormat="1" x14ac:dyDescent="0.55000000000000004">
      <c r="A79" s="57">
        <v>73</v>
      </c>
      <c r="B79" s="58" t="s">
        <v>77</v>
      </c>
      <c r="C79" s="56">
        <f>SUM('1.งบบุคลากร'!C79+'2.งบดำเนินงาน'!O79+'3.งบลงทุน'!C79+'4.งบอุดหนุน'!C79+'5.งบรายจ่ายอื่น'!BC79)</f>
        <v>20736281</v>
      </c>
      <c r="D79" s="56">
        <f>SUM('1.งบบุคลากร'!D79+'2.งบดำเนินงาน'!P79+'3.งบลงทุน'!D79+'4.งบอุดหนุน'!D79+'5.งบรายจ่ายอื่น'!BD79)</f>
        <v>6491110</v>
      </c>
      <c r="E79" s="56">
        <f>SUM('1.งบบุคลากร'!E79+'2.งบดำเนินงาน'!Q79+'3.งบลงทุน'!E79+'4.งบอุดหนุน'!E79+'5.งบรายจ่ายอื่น'!BE79)</f>
        <v>6918279.2699999996</v>
      </c>
      <c r="F79" s="56">
        <f>SUM('1.งบบุคลากร'!F79+'2.งบดำเนินงาน'!R79+'3.งบลงทุน'!F79+'4.งบอุดหนุน'!F79+'5.งบรายจ่ายอื่น'!BF79)</f>
        <v>7326891.7300000004</v>
      </c>
      <c r="G79" s="56">
        <f t="shared" si="3"/>
        <v>33.363163192088301</v>
      </c>
      <c r="H79" s="69"/>
    </row>
    <row r="80" spans="1:8" s="70" customFormat="1" x14ac:dyDescent="0.55000000000000004">
      <c r="A80" s="57">
        <v>74</v>
      </c>
      <c r="B80" s="58" t="s">
        <v>78</v>
      </c>
      <c r="C80" s="56">
        <f>SUM('1.งบบุคลากร'!C80+'2.งบดำเนินงาน'!O80+'3.งบลงทุน'!C80+'4.งบอุดหนุน'!C80+'5.งบรายจ่ายอื่น'!BC80)</f>
        <v>18147390</v>
      </c>
      <c r="D80" s="56">
        <f>SUM('1.งบบุคลากร'!D80+'2.งบดำเนินงาน'!P80+'3.งบลงทุน'!D80+'4.งบอุดหนุน'!D80+'5.งบรายจ่ายอื่น'!BD80)</f>
        <v>4091622.8</v>
      </c>
      <c r="E80" s="56">
        <f>SUM('1.งบบุคลากร'!E80+'2.งบดำเนินงาน'!Q80+'3.งบลงทุน'!E80+'4.งบอุดหนุน'!E80+'5.งบรายจ่ายอื่น'!BE80)</f>
        <v>7951910.2800000003</v>
      </c>
      <c r="F80" s="56">
        <f>SUM('1.งบบุคลากร'!F80+'2.งบดำเนินงาน'!R80+'3.งบลงทุน'!F80+'4.งบอุดหนุน'!F80+'5.งบรายจ่ายอื่น'!BF80)</f>
        <v>6103856.9199999999</v>
      </c>
      <c r="G80" s="56">
        <f t="shared" si="3"/>
        <v>43.818479020950122</v>
      </c>
      <c r="H80" s="69"/>
    </row>
    <row r="81" spans="1:8" s="70" customFormat="1" x14ac:dyDescent="0.55000000000000004">
      <c r="A81" s="57">
        <v>75</v>
      </c>
      <c r="B81" s="58" t="s">
        <v>79</v>
      </c>
      <c r="C81" s="56">
        <f>SUM('1.งบบุคลากร'!C81+'2.งบดำเนินงาน'!O81+'3.งบลงทุน'!C81+'4.งบอุดหนุน'!C81+'5.งบรายจ่ายอื่น'!BC81)</f>
        <v>45297222</v>
      </c>
      <c r="D81" s="56">
        <f>SUM('1.งบบุคลากร'!D81+'2.งบดำเนินงาน'!P81+'3.งบลงทุน'!D81+'4.งบอุดหนุน'!D81+'5.งบรายจ่ายอื่น'!BD81)</f>
        <v>31198357</v>
      </c>
      <c r="E81" s="56">
        <f>SUM('1.งบบุคลากร'!E81+'2.งบดำเนินงาน'!Q81+'3.งบลงทุน'!E81+'4.งบอุดหนุน'!E81+'5.งบรายจ่ายอื่น'!BE81)</f>
        <v>8470920.0999999996</v>
      </c>
      <c r="F81" s="56">
        <f>SUM('1.งบบุคลากร'!F81+'2.งบดำเนินงาน'!R81+'3.งบลงทุน'!F81+'4.งบอุดหนุน'!F81+'5.งบรายจ่ายอื่น'!BF81)</f>
        <v>5627944.9000000004</v>
      </c>
      <c r="G81" s="56">
        <f t="shared" si="3"/>
        <v>18.700749683943091</v>
      </c>
      <c r="H81" s="69"/>
    </row>
    <row r="82" spans="1:8" s="70" customFormat="1" x14ac:dyDescent="0.55000000000000004">
      <c r="A82" s="57">
        <v>76</v>
      </c>
      <c r="B82" s="58" t="s">
        <v>80</v>
      </c>
      <c r="C82" s="56">
        <f>SUM('1.งบบุคลากร'!C82+'2.งบดำเนินงาน'!O82+'3.งบลงทุน'!C82+'4.งบอุดหนุน'!C82+'5.งบรายจ่ายอื่น'!BC82)</f>
        <v>10073481</v>
      </c>
      <c r="D82" s="56">
        <f>SUM('1.งบบุคลากร'!D82+'2.งบดำเนินงาน'!P82+'3.งบลงทุน'!D82+'4.งบอุดหนุน'!D82+'5.งบรายจ่ายอื่น'!BD82)</f>
        <v>542840</v>
      </c>
      <c r="E82" s="56">
        <f>SUM('1.งบบุคลากร'!E82+'2.งบดำเนินงาน'!Q82+'3.งบลงทุน'!E82+'4.งบอุดหนุน'!E82+'5.งบรายจ่ายอื่น'!BE82)</f>
        <v>5016813.1500000004</v>
      </c>
      <c r="F82" s="56">
        <f>SUM('1.งบบุคลากร'!F82+'2.งบดำเนินงาน'!R82+'3.งบลงทุน'!F82+'4.งบอุดหนุน'!F82+'5.งบรายจ่ายอื่น'!BF82)</f>
        <v>4513827.8499999996</v>
      </c>
      <c r="G82" s="56">
        <f t="shared" si="3"/>
        <v>49.802180100404229</v>
      </c>
      <c r="H82" s="69"/>
    </row>
    <row r="83" spans="1:8" x14ac:dyDescent="0.55000000000000004">
      <c r="C83" s="61"/>
      <c r="D83" s="61"/>
    </row>
    <row r="84" spans="1:8" x14ac:dyDescent="0.55000000000000004">
      <c r="C84" s="61"/>
      <c r="D84" s="61"/>
    </row>
    <row r="85" spans="1:8" x14ac:dyDescent="0.55000000000000004">
      <c r="C85" s="45"/>
      <c r="D85" s="45"/>
    </row>
    <row r="86" spans="1:8" x14ac:dyDescent="0.55000000000000004">
      <c r="C86" s="45"/>
      <c r="D86" s="45"/>
    </row>
    <row r="87" spans="1:8" x14ac:dyDescent="0.55000000000000004">
      <c r="C87" s="61"/>
      <c r="D87" s="61"/>
    </row>
  </sheetData>
  <sheetProtection selectLockedCells="1"/>
  <mergeCells count="5">
    <mergeCell ref="A4:A5"/>
    <mergeCell ref="B4:B5"/>
    <mergeCell ref="C4:G4"/>
    <mergeCell ref="A2:G2"/>
    <mergeCell ref="A1:G1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2"/>
  <sheetViews>
    <sheetView topLeftCell="A4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C9" sqref="C9"/>
    </sheetView>
  </sheetViews>
  <sheetFormatPr defaultColWidth="9" defaultRowHeight="24" x14ac:dyDescent="0.55000000000000004"/>
  <cols>
    <col min="1" max="1" width="6.875" style="28" customWidth="1"/>
    <col min="2" max="2" width="23.125" style="44" bestFit="1" customWidth="1"/>
    <col min="3" max="3" width="22.875" style="54" bestFit="1" customWidth="1"/>
    <col min="4" max="4" width="18.375" style="28" bestFit="1" customWidth="1"/>
    <col min="5" max="5" width="22.875" style="60" bestFit="1" customWidth="1"/>
    <col min="6" max="6" width="22.875" style="44" bestFit="1" customWidth="1"/>
    <col min="7" max="7" width="26" style="28" bestFit="1" customWidth="1"/>
    <col min="8" max="16384" width="9" style="28"/>
  </cols>
  <sheetData>
    <row r="1" spans="1:7" s="42" customFormat="1" ht="27.75" x14ac:dyDescent="0.65">
      <c r="A1" s="75" t="s">
        <v>112</v>
      </c>
      <c r="B1" s="75"/>
      <c r="C1" s="75"/>
      <c r="D1" s="75"/>
      <c r="E1" s="75"/>
      <c r="F1" s="75"/>
      <c r="G1" s="75"/>
    </row>
    <row r="2" spans="1:7" s="42" customFormat="1" ht="27.75" x14ac:dyDescent="0.65">
      <c r="A2" s="75" t="s">
        <v>114</v>
      </c>
      <c r="B2" s="75"/>
      <c r="C2" s="75"/>
      <c r="D2" s="75"/>
      <c r="E2" s="75"/>
      <c r="F2" s="75"/>
      <c r="G2" s="75"/>
    </row>
    <row r="3" spans="1:7" s="42" customFormat="1" x14ac:dyDescent="0.55000000000000004">
      <c r="A3" s="43"/>
      <c r="B3" s="43"/>
      <c r="C3" s="51"/>
      <c r="E3" s="59"/>
      <c r="F3" s="43"/>
    </row>
    <row r="4" spans="1:7" ht="47.25" customHeight="1" x14ac:dyDescent="0.55000000000000004">
      <c r="A4" s="78" t="s">
        <v>0</v>
      </c>
      <c r="B4" s="78" t="s">
        <v>1</v>
      </c>
      <c r="C4" s="72" t="s">
        <v>119</v>
      </c>
      <c r="D4" s="73"/>
      <c r="E4" s="73"/>
      <c r="F4" s="73"/>
      <c r="G4" s="74"/>
    </row>
    <row r="5" spans="1:7" x14ac:dyDescent="0.55000000000000004">
      <c r="A5" s="79"/>
      <c r="B5" s="79"/>
      <c r="C5" s="26" t="s">
        <v>2</v>
      </c>
      <c r="D5" s="29" t="s">
        <v>111</v>
      </c>
      <c r="E5" s="29" t="s">
        <v>3</v>
      </c>
      <c r="F5" s="29" t="s">
        <v>4</v>
      </c>
      <c r="G5" s="29" t="s">
        <v>110</v>
      </c>
    </row>
    <row r="6" spans="1:7" x14ac:dyDescent="0.55000000000000004">
      <c r="A6" s="76" t="s">
        <v>82</v>
      </c>
      <c r="B6" s="77"/>
      <c r="C6" s="33">
        <f>SUM(C7:C82)</f>
        <v>92237075</v>
      </c>
      <c r="D6" s="31">
        <f>SUM(D7:D82)</f>
        <v>0</v>
      </c>
      <c r="E6" s="31">
        <f>SUM(E7:E82)</f>
        <v>53383868</v>
      </c>
      <c r="F6" s="31">
        <f>SUM(C6-D6-E6)</f>
        <v>38853207</v>
      </c>
      <c r="G6" s="31">
        <f t="shared" ref="G6:G37" si="0">SUM(E6*100/C6)</f>
        <v>57.876800624911404</v>
      </c>
    </row>
    <row r="7" spans="1:7" s="70" customFormat="1" x14ac:dyDescent="0.55000000000000004">
      <c r="A7" s="57">
        <v>1</v>
      </c>
      <c r="B7" s="58" t="s">
        <v>5</v>
      </c>
      <c r="C7" s="128">
        <f>532680+20220+552900</f>
        <v>1105800</v>
      </c>
      <c r="D7" s="129"/>
      <c r="E7" s="130">
        <v>645050</v>
      </c>
      <c r="F7" s="131">
        <f>SUM(C7-D7-E7)</f>
        <v>460750</v>
      </c>
      <c r="G7" s="56">
        <f t="shared" si="0"/>
        <v>58.333333333333336</v>
      </c>
    </row>
    <row r="8" spans="1:7" s="70" customFormat="1" x14ac:dyDescent="0.55000000000000004">
      <c r="A8" s="57">
        <v>2</v>
      </c>
      <c r="B8" s="58" t="s">
        <v>6</v>
      </c>
      <c r="C8" s="128">
        <f>238140+8940+247080</f>
        <v>494160</v>
      </c>
      <c r="D8" s="129"/>
      <c r="E8" s="130">
        <v>288260</v>
      </c>
      <c r="F8" s="131">
        <f t="shared" ref="F8:F71" si="1">SUM(C8-D8-E8)</f>
        <v>205900</v>
      </c>
      <c r="G8" s="56">
        <f t="shared" si="0"/>
        <v>58.333333333333336</v>
      </c>
    </row>
    <row r="9" spans="1:7" s="70" customFormat="1" x14ac:dyDescent="0.55000000000000004">
      <c r="A9" s="57">
        <v>3</v>
      </c>
      <c r="B9" s="58" t="s">
        <v>7</v>
      </c>
      <c r="C9" s="128">
        <f>703440+26820+730260</f>
        <v>1460520</v>
      </c>
      <c r="D9" s="129"/>
      <c r="E9" s="130">
        <v>826950.64</v>
      </c>
      <c r="F9" s="131">
        <f t="shared" si="1"/>
        <v>633569.36</v>
      </c>
      <c r="G9" s="56">
        <f t="shared" si="0"/>
        <v>56.620288664311339</v>
      </c>
    </row>
    <row r="10" spans="1:7" s="70" customFormat="1" x14ac:dyDescent="0.55000000000000004">
      <c r="A10" s="57">
        <v>4</v>
      </c>
      <c r="B10" s="58" t="s">
        <v>8</v>
      </c>
      <c r="C10" s="128">
        <f>665040+25260+690300</f>
        <v>1380600</v>
      </c>
      <c r="D10" s="129"/>
      <c r="E10" s="130">
        <v>805350</v>
      </c>
      <c r="F10" s="131">
        <f t="shared" si="1"/>
        <v>575250</v>
      </c>
      <c r="G10" s="56">
        <f t="shared" si="0"/>
        <v>58.333333333333336</v>
      </c>
    </row>
    <row r="11" spans="1:7" s="70" customFormat="1" x14ac:dyDescent="0.55000000000000004">
      <c r="A11" s="57">
        <v>5</v>
      </c>
      <c r="B11" s="58" t="s">
        <v>9</v>
      </c>
      <c r="C11" s="128">
        <f>492900+14580+507480</f>
        <v>1014960</v>
      </c>
      <c r="D11" s="129"/>
      <c r="E11" s="130">
        <v>592060</v>
      </c>
      <c r="F11" s="131">
        <f t="shared" si="1"/>
        <v>422900</v>
      </c>
      <c r="G11" s="56">
        <f t="shared" si="0"/>
        <v>58.333333333333336</v>
      </c>
    </row>
    <row r="12" spans="1:7" s="70" customFormat="1" x14ac:dyDescent="0.55000000000000004">
      <c r="A12" s="57">
        <v>6</v>
      </c>
      <c r="B12" s="58" t="s">
        <v>10</v>
      </c>
      <c r="C12" s="128">
        <f>565260+133560+698820</f>
        <v>1397640</v>
      </c>
      <c r="D12" s="129"/>
      <c r="E12" s="130">
        <v>815290</v>
      </c>
      <c r="F12" s="131">
        <f t="shared" si="1"/>
        <v>582350</v>
      </c>
      <c r="G12" s="56">
        <f t="shared" si="0"/>
        <v>58.333333333333336</v>
      </c>
    </row>
    <row r="13" spans="1:7" s="70" customFormat="1" x14ac:dyDescent="0.55000000000000004">
      <c r="A13" s="57">
        <v>7</v>
      </c>
      <c r="B13" s="58" t="s">
        <v>11</v>
      </c>
      <c r="C13" s="128">
        <f>558840+21180+580020</f>
        <v>1160040</v>
      </c>
      <c r="D13" s="129"/>
      <c r="E13" s="130">
        <v>676690</v>
      </c>
      <c r="F13" s="131">
        <f t="shared" si="1"/>
        <v>483350</v>
      </c>
      <c r="G13" s="56">
        <f t="shared" si="0"/>
        <v>58.333333333333336</v>
      </c>
    </row>
    <row r="14" spans="1:7" s="70" customFormat="1" x14ac:dyDescent="0.55000000000000004">
      <c r="A14" s="57">
        <v>8</v>
      </c>
      <c r="B14" s="58" t="s">
        <v>12</v>
      </c>
      <c r="C14" s="128">
        <f>551220+20940+572160</f>
        <v>1144320</v>
      </c>
      <c r="D14" s="129"/>
      <c r="E14" s="130">
        <v>667520</v>
      </c>
      <c r="F14" s="131">
        <f t="shared" si="1"/>
        <v>476800</v>
      </c>
      <c r="G14" s="56">
        <f t="shared" si="0"/>
        <v>58.333333333333336</v>
      </c>
    </row>
    <row r="15" spans="1:7" s="70" customFormat="1" x14ac:dyDescent="0.55000000000000004">
      <c r="A15" s="57">
        <v>9</v>
      </c>
      <c r="B15" s="58" t="s">
        <v>13</v>
      </c>
      <c r="C15" s="128">
        <f>655140+24900-120150+680040</f>
        <v>1239930</v>
      </c>
      <c r="D15" s="129"/>
      <c r="E15" s="130">
        <v>661196.82999999996</v>
      </c>
      <c r="F15" s="131">
        <f t="shared" si="1"/>
        <v>578733.17000000004</v>
      </c>
      <c r="G15" s="56">
        <f t="shared" si="0"/>
        <v>53.32533530118635</v>
      </c>
    </row>
    <row r="16" spans="1:7" s="70" customFormat="1" x14ac:dyDescent="0.55000000000000004">
      <c r="A16" s="57">
        <v>10</v>
      </c>
      <c r="B16" s="58" t="s">
        <v>14</v>
      </c>
      <c r="C16" s="128">
        <f>471960+17880+489840</f>
        <v>979680</v>
      </c>
      <c r="D16" s="129"/>
      <c r="E16" s="130">
        <v>571480</v>
      </c>
      <c r="F16" s="131">
        <f t="shared" si="1"/>
        <v>408200</v>
      </c>
      <c r="G16" s="56">
        <f t="shared" si="0"/>
        <v>58.333333333333336</v>
      </c>
    </row>
    <row r="17" spans="1:7" s="70" customFormat="1" x14ac:dyDescent="0.55000000000000004">
      <c r="A17" s="57">
        <v>11</v>
      </c>
      <c r="B17" s="58" t="s">
        <v>15</v>
      </c>
      <c r="C17" s="128">
        <f>559140-135000+108000+532140</f>
        <v>1064280</v>
      </c>
      <c r="D17" s="129"/>
      <c r="E17" s="130">
        <v>620830</v>
      </c>
      <c r="F17" s="131">
        <f t="shared" si="1"/>
        <v>443450</v>
      </c>
      <c r="G17" s="56">
        <f t="shared" si="0"/>
        <v>58.333333333333336</v>
      </c>
    </row>
    <row r="18" spans="1:7" s="70" customFormat="1" x14ac:dyDescent="0.55000000000000004">
      <c r="A18" s="57">
        <v>12</v>
      </c>
      <c r="B18" s="58" t="s">
        <v>16</v>
      </c>
      <c r="C18" s="128">
        <f>389460+14760+108000-71700+368820</f>
        <v>809340</v>
      </c>
      <c r="D18" s="129"/>
      <c r="E18" s="130">
        <v>519990</v>
      </c>
      <c r="F18" s="131">
        <f t="shared" si="1"/>
        <v>289350</v>
      </c>
      <c r="G18" s="56">
        <f t="shared" si="0"/>
        <v>64.248647045740981</v>
      </c>
    </row>
    <row r="19" spans="1:7" s="70" customFormat="1" x14ac:dyDescent="0.55000000000000004">
      <c r="A19" s="57">
        <v>13</v>
      </c>
      <c r="B19" s="58" t="s">
        <v>17</v>
      </c>
      <c r="C19" s="128">
        <f>651540+24720+676260</f>
        <v>1352520</v>
      </c>
      <c r="D19" s="129"/>
      <c r="E19" s="130">
        <v>788970</v>
      </c>
      <c r="F19" s="131">
        <f t="shared" si="1"/>
        <v>563550</v>
      </c>
      <c r="G19" s="56">
        <f t="shared" si="0"/>
        <v>58.333333333333336</v>
      </c>
    </row>
    <row r="20" spans="1:7" s="70" customFormat="1" x14ac:dyDescent="0.55000000000000004">
      <c r="A20" s="57">
        <v>14</v>
      </c>
      <c r="B20" s="58" t="s">
        <v>18</v>
      </c>
      <c r="C20" s="128">
        <f>402780+15300+418080</f>
        <v>836160</v>
      </c>
      <c r="D20" s="129"/>
      <c r="E20" s="130">
        <v>487760</v>
      </c>
      <c r="F20" s="131">
        <f t="shared" si="1"/>
        <v>348400</v>
      </c>
      <c r="G20" s="56">
        <f t="shared" si="0"/>
        <v>58.333333333333336</v>
      </c>
    </row>
    <row r="21" spans="1:7" s="70" customFormat="1" x14ac:dyDescent="0.55000000000000004">
      <c r="A21" s="57">
        <v>15</v>
      </c>
      <c r="B21" s="58" t="s">
        <v>19</v>
      </c>
      <c r="C21" s="128">
        <f>562980-128520+71430+542460</f>
        <v>1048350</v>
      </c>
      <c r="D21" s="129"/>
      <c r="E21" s="130">
        <v>596300</v>
      </c>
      <c r="F21" s="131">
        <f t="shared" si="1"/>
        <v>452050</v>
      </c>
      <c r="G21" s="56">
        <f t="shared" si="0"/>
        <v>56.879858825773837</v>
      </c>
    </row>
    <row r="22" spans="1:7" s="70" customFormat="1" x14ac:dyDescent="0.55000000000000004">
      <c r="A22" s="57">
        <v>16</v>
      </c>
      <c r="B22" s="58" t="s">
        <v>20</v>
      </c>
      <c r="C22" s="128">
        <f>637800+24120+661920</f>
        <v>1323840</v>
      </c>
      <c r="D22" s="129"/>
      <c r="E22" s="130">
        <v>772240</v>
      </c>
      <c r="F22" s="131">
        <f t="shared" si="1"/>
        <v>551600</v>
      </c>
      <c r="G22" s="56">
        <f t="shared" si="0"/>
        <v>58.333333333333336</v>
      </c>
    </row>
    <row r="23" spans="1:7" s="70" customFormat="1" x14ac:dyDescent="0.55000000000000004">
      <c r="A23" s="57">
        <v>17</v>
      </c>
      <c r="B23" s="58" t="s">
        <v>21</v>
      </c>
      <c r="C23" s="128">
        <f>723900+27660+751560</f>
        <v>1503120</v>
      </c>
      <c r="D23" s="129"/>
      <c r="E23" s="130">
        <v>841465</v>
      </c>
      <c r="F23" s="131">
        <f t="shared" si="1"/>
        <v>661655</v>
      </c>
      <c r="G23" s="56">
        <f t="shared" si="0"/>
        <v>55.981225717174944</v>
      </c>
    </row>
    <row r="24" spans="1:7" s="70" customFormat="1" x14ac:dyDescent="0.55000000000000004">
      <c r="A24" s="57">
        <v>18</v>
      </c>
      <c r="B24" s="58" t="s">
        <v>22</v>
      </c>
      <c r="C24" s="128">
        <f>385440+14640+144581+400080</f>
        <v>944741</v>
      </c>
      <c r="D24" s="129"/>
      <c r="E24" s="130">
        <v>521340</v>
      </c>
      <c r="F24" s="131">
        <f t="shared" si="1"/>
        <v>423401</v>
      </c>
      <c r="G24" s="56">
        <f t="shared" si="0"/>
        <v>55.18337830156625</v>
      </c>
    </row>
    <row r="25" spans="1:7" s="70" customFormat="1" x14ac:dyDescent="0.55000000000000004">
      <c r="A25" s="57">
        <v>19</v>
      </c>
      <c r="B25" s="58" t="s">
        <v>23</v>
      </c>
      <c r="C25" s="128">
        <f>812100+30840+842940</f>
        <v>1685880</v>
      </c>
      <c r="D25" s="129"/>
      <c r="E25" s="130">
        <v>983430</v>
      </c>
      <c r="F25" s="131">
        <f t="shared" si="1"/>
        <v>702450</v>
      </c>
      <c r="G25" s="56">
        <f t="shared" si="0"/>
        <v>58.333333333333336</v>
      </c>
    </row>
    <row r="26" spans="1:7" s="70" customFormat="1" x14ac:dyDescent="0.55000000000000004">
      <c r="A26" s="57">
        <v>20</v>
      </c>
      <c r="B26" s="58" t="s">
        <v>24</v>
      </c>
      <c r="C26" s="128">
        <f>634980+24060+659040</f>
        <v>1318080</v>
      </c>
      <c r="D26" s="129"/>
      <c r="E26" s="130">
        <v>768880</v>
      </c>
      <c r="F26" s="131">
        <f t="shared" si="1"/>
        <v>549200</v>
      </c>
      <c r="G26" s="56">
        <f t="shared" si="0"/>
        <v>58.333333333333336</v>
      </c>
    </row>
    <row r="27" spans="1:7" s="70" customFormat="1" x14ac:dyDescent="0.55000000000000004">
      <c r="A27" s="57">
        <v>21</v>
      </c>
      <c r="B27" s="58" t="s">
        <v>25</v>
      </c>
      <c r="C27" s="128">
        <f>686220-86160+125419+600060</f>
        <v>1325539</v>
      </c>
      <c r="D27" s="129"/>
      <c r="E27" s="130">
        <v>735489</v>
      </c>
      <c r="F27" s="131">
        <f t="shared" si="1"/>
        <v>590050</v>
      </c>
      <c r="G27" s="56">
        <f t="shared" si="0"/>
        <v>55.486032474336852</v>
      </c>
    </row>
    <row r="28" spans="1:7" s="70" customFormat="1" x14ac:dyDescent="0.55000000000000004">
      <c r="A28" s="57">
        <v>22</v>
      </c>
      <c r="B28" s="58" t="s">
        <v>26</v>
      </c>
      <c r="C28" s="128">
        <f>676260+25680+701940</f>
        <v>1403880</v>
      </c>
      <c r="D28" s="129"/>
      <c r="E28" s="130">
        <v>818930</v>
      </c>
      <c r="F28" s="131">
        <f t="shared" si="1"/>
        <v>584950</v>
      </c>
      <c r="G28" s="56">
        <f t="shared" si="0"/>
        <v>58.333333333333336</v>
      </c>
    </row>
    <row r="29" spans="1:7" s="70" customFormat="1" x14ac:dyDescent="0.55000000000000004">
      <c r="A29" s="57">
        <v>23</v>
      </c>
      <c r="B29" s="58" t="s">
        <v>27</v>
      </c>
      <c r="C29" s="128">
        <f>557040+21120+578160</f>
        <v>1156320</v>
      </c>
      <c r="D29" s="129"/>
      <c r="E29" s="130">
        <v>674520</v>
      </c>
      <c r="F29" s="131">
        <f t="shared" si="1"/>
        <v>481800</v>
      </c>
      <c r="G29" s="56">
        <f t="shared" si="0"/>
        <v>58.333333333333336</v>
      </c>
    </row>
    <row r="30" spans="1:7" s="70" customFormat="1" x14ac:dyDescent="0.55000000000000004">
      <c r="A30" s="57">
        <v>24</v>
      </c>
      <c r="B30" s="58" t="s">
        <v>28</v>
      </c>
      <c r="C30" s="128">
        <f>523080+19920+543000</f>
        <v>1086000</v>
      </c>
      <c r="D30" s="129"/>
      <c r="E30" s="130">
        <v>632780</v>
      </c>
      <c r="F30" s="131">
        <f t="shared" si="1"/>
        <v>453220</v>
      </c>
      <c r="G30" s="56">
        <f t="shared" si="0"/>
        <v>58.267034990791899</v>
      </c>
    </row>
    <row r="31" spans="1:7" s="70" customFormat="1" x14ac:dyDescent="0.55000000000000004">
      <c r="A31" s="57">
        <v>25</v>
      </c>
      <c r="B31" s="58" t="s">
        <v>29</v>
      </c>
      <c r="C31" s="128">
        <f>426540+16080+71430+550620</f>
        <v>1064670</v>
      </c>
      <c r="D31" s="129"/>
      <c r="E31" s="130">
        <v>605820</v>
      </c>
      <c r="F31" s="131">
        <f t="shared" si="1"/>
        <v>458850</v>
      </c>
      <c r="G31" s="56">
        <f t="shared" si="0"/>
        <v>56.90213869086196</v>
      </c>
    </row>
    <row r="32" spans="1:7" s="70" customFormat="1" x14ac:dyDescent="0.55000000000000004">
      <c r="A32" s="57">
        <v>26</v>
      </c>
      <c r="B32" s="58" t="s">
        <v>30</v>
      </c>
      <c r="C32" s="128">
        <f>401220+15300+416520</f>
        <v>833040</v>
      </c>
      <c r="D32" s="129"/>
      <c r="E32" s="130">
        <v>469279.97</v>
      </c>
      <c r="F32" s="131">
        <f t="shared" si="1"/>
        <v>363760.03</v>
      </c>
      <c r="G32" s="56">
        <f t="shared" si="0"/>
        <v>56.333425765869585</v>
      </c>
    </row>
    <row r="33" spans="1:7" s="70" customFormat="1" x14ac:dyDescent="0.55000000000000004">
      <c r="A33" s="57">
        <v>27</v>
      </c>
      <c r="B33" s="58" t="s">
        <v>31</v>
      </c>
      <c r="C33" s="128">
        <f>558240+21180+579420</f>
        <v>1158840</v>
      </c>
      <c r="D33" s="129"/>
      <c r="E33" s="130">
        <v>675990</v>
      </c>
      <c r="F33" s="131">
        <f t="shared" si="1"/>
        <v>482850</v>
      </c>
      <c r="G33" s="56">
        <f t="shared" si="0"/>
        <v>58.333333333333336</v>
      </c>
    </row>
    <row r="34" spans="1:7" s="70" customFormat="1" x14ac:dyDescent="0.55000000000000004">
      <c r="A34" s="57">
        <v>28</v>
      </c>
      <c r="B34" s="58" t="s">
        <v>32</v>
      </c>
      <c r="C34" s="128">
        <f>914100+34920+949020</f>
        <v>1898040</v>
      </c>
      <c r="D34" s="129"/>
      <c r="E34" s="130">
        <v>1107190</v>
      </c>
      <c r="F34" s="131">
        <f t="shared" si="1"/>
        <v>790850</v>
      </c>
      <c r="G34" s="56">
        <f t="shared" si="0"/>
        <v>58.333333333333336</v>
      </c>
    </row>
    <row r="35" spans="1:7" s="70" customFormat="1" x14ac:dyDescent="0.55000000000000004">
      <c r="A35" s="57">
        <v>29</v>
      </c>
      <c r="B35" s="58" t="s">
        <v>33</v>
      </c>
      <c r="C35" s="128">
        <f>520800+19740+540540</f>
        <v>1081080</v>
      </c>
      <c r="D35" s="129"/>
      <c r="E35" s="130">
        <v>633630</v>
      </c>
      <c r="F35" s="131">
        <f t="shared" si="1"/>
        <v>447450</v>
      </c>
      <c r="G35" s="56">
        <f t="shared" si="0"/>
        <v>58.610833610833609</v>
      </c>
    </row>
    <row r="36" spans="1:7" s="70" customFormat="1" x14ac:dyDescent="0.55000000000000004">
      <c r="A36" s="57">
        <v>30</v>
      </c>
      <c r="B36" s="58" t="s">
        <v>34</v>
      </c>
      <c r="C36" s="128">
        <f>569760+21720+591480</f>
        <v>1182960</v>
      </c>
      <c r="D36" s="129"/>
      <c r="E36" s="130">
        <v>690060</v>
      </c>
      <c r="F36" s="131">
        <f t="shared" si="1"/>
        <v>492900</v>
      </c>
      <c r="G36" s="56">
        <f t="shared" si="0"/>
        <v>58.333333333333336</v>
      </c>
    </row>
    <row r="37" spans="1:7" s="70" customFormat="1" x14ac:dyDescent="0.55000000000000004">
      <c r="A37" s="57">
        <v>31</v>
      </c>
      <c r="B37" s="58" t="s">
        <v>35</v>
      </c>
      <c r="C37" s="128">
        <f>500460+19020+519480</f>
        <v>1038960</v>
      </c>
      <c r="D37" s="129"/>
      <c r="E37" s="130">
        <v>606060</v>
      </c>
      <c r="F37" s="131">
        <f t="shared" si="1"/>
        <v>432900</v>
      </c>
      <c r="G37" s="56">
        <f t="shared" si="0"/>
        <v>58.333333333333336</v>
      </c>
    </row>
    <row r="38" spans="1:7" s="70" customFormat="1" x14ac:dyDescent="0.55000000000000004">
      <c r="A38" s="57">
        <v>32</v>
      </c>
      <c r="B38" s="58" t="s">
        <v>36</v>
      </c>
      <c r="C38" s="128">
        <f>531840+20280+552120</f>
        <v>1104240</v>
      </c>
      <c r="D38" s="129"/>
      <c r="E38" s="130">
        <v>644140</v>
      </c>
      <c r="F38" s="131">
        <f t="shared" si="1"/>
        <v>460100</v>
      </c>
      <c r="G38" s="56">
        <f t="shared" ref="G38:G69" si="2">SUM(E38*100/C38)</f>
        <v>58.333333333333336</v>
      </c>
    </row>
    <row r="39" spans="1:7" s="70" customFormat="1" x14ac:dyDescent="0.55000000000000004">
      <c r="A39" s="57">
        <v>33</v>
      </c>
      <c r="B39" s="58" t="s">
        <v>37</v>
      </c>
      <c r="C39" s="128">
        <f>382380+14520+106860+612900</f>
        <v>1116660</v>
      </c>
      <c r="D39" s="129"/>
      <c r="E39" s="130">
        <v>605910</v>
      </c>
      <c r="F39" s="131">
        <f t="shared" si="1"/>
        <v>510750</v>
      </c>
      <c r="G39" s="56">
        <f t="shared" si="2"/>
        <v>54.260920960722153</v>
      </c>
    </row>
    <row r="40" spans="1:7" s="70" customFormat="1" x14ac:dyDescent="0.55000000000000004">
      <c r="A40" s="57">
        <v>34</v>
      </c>
      <c r="B40" s="58" t="s">
        <v>38</v>
      </c>
      <c r="C40" s="128">
        <f>517140+19800+536940</f>
        <v>1073880</v>
      </c>
      <c r="D40" s="129"/>
      <c r="E40" s="130">
        <v>626430</v>
      </c>
      <c r="F40" s="131">
        <f t="shared" si="1"/>
        <v>447450</v>
      </c>
      <c r="G40" s="56">
        <f t="shared" si="2"/>
        <v>58.333333333333336</v>
      </c>
    </row>
    <row r="41" spans="1:7" s="70" customFormat="1" x14ac:dyDescent="0.55000000000000004">
      <c r="A41" s="57">
        <v>35</v>
      </c>
      <c r="B41" s="58" t="s">
        <v>39</v>
      </c>
      <c r="C41" s="128">
        <f>505080+131280-126000+636360</f>
        <v>1146720</v>
      </c>
      <c r="D41" s="129"/>
      <c r="E41" s="130">
        <v>737774.84</v>
      </c>
      <c r="F41" s="131">
        <f t="shared" si="1"/>
        <v>408945.16000000003</v>
      </c>
      <c r="G41" s="56">
        <f t="shared" si="2"/>
        <v>64.337836612250598</v>
      </c>
    </row>
    <row r="42" spans="1:7" s="70" customFormat="1" x14ac:dyDescent="0.55000000000000004">
      <c r="A42" s="57">
        <v>36</v>
      </c>
      <c r="B42" s="58" t="s">
        <v>40</v>
      </c>
      <c r="C42" s="128">
        <f>787500+29880+98715+925380</f>
        <v>1841475</v>
      </c>
      <c r="D42" s="129"/>
      <c r="E42" s="130">
        <v>1070319.75</v>
      </c>
      <c r="F42" s="131">
        <f t="shared" si="1"/>
        <v>771155.25</v>
      </c>
      <c r="G42" s="56">
        <f t="shared" si="2"/>
        <v>58.122958497943223</v>
      </c>
    </row>
    <row r="43" spans="1:7" s="70" customFormat="1" x14ac:dyDescent="0.55000000000000004">
      <c r="A43" s="57">
        <v>37</v>
      </c>
      <c r="B43" s="58" t="s">
        <v>41</v>
      </c>
      <c r="C43" s="128">
        <f>496440+130920+125419+627360</f>
        <v>1380139</v>
      </c>
      <c r="D43" s="129"/>
      <c r="E43" s="130">
        <v>767320</v>
      </c>
      <c r="F43" s="131">
        <f t="shared" si="1"/>
        <v>612819</v>
      </c>
      <c r="G43" s="56">
        <f t="shared" si="2"/>
        <v>55.597298532973852</v>
      </c>
    </row>
    <row r="44" spans="1:7" s="70" customFormat="1" x14ac:dyDescent="0.55000000000000004">
      <c r="A44" s="57">
        <v>38</v>
      </c>
      <c r="B44" s="58" t="s">
        <v>42</v>
      </c>
      <c r="C44" s="128">
        <f>724200+27480+751680</f>
        <v>1503360</v>
      </c>
      <c r="D44" s="129"/>
      <c r="E44" s="130">
        <v>876960</v>
      </c>
      <c r="F44" s="131">
        <f t="shared" si="1"/>
        <v>626400</v>
      </c>
      <c r="G44" s="56">
        <f t="shared" si="2"/>
        <v>58.333333333333336</v>
      </c>
    </row>
    <row r="45" spans="1:7" s="70" customFormat="1" x14ac:dyDescent="0.55000000000000004">
      <c r="A45" s="57">
        <v>39</v>
      </c>
      <c r="B45" s="58" t="s">
        <v>43</v>
      </c>
      <c r="C45" s="128">
        <f>691440+26280+96391+825720</f>
        <v>1639831</v>
      </c>
      <c r="D45" s="129"/>
      <c r="E45" s="130">
        <v>951731</v>
      </c>
      <c r="F45" s="131">
        <f t="shared" si="1"/>
        <v>688100</v>
      </c>
      <c r="G45" s="56">
        <f t="shared" si="2"/>
        <v>58.038358830879524</v>
      </c>
    </row>
    <row r="46" spans="1:7" s="70" customFormat="1" x14ac:dyDescent="0.55000000000000004">
      <c r="A46" s="57">
        <v>40</v>
      </c>
      <c r="B46" s="58" t="s">
        <v>44</v>
      </c>
      <c r="C46" s="128">
        <f>682020+25860+707880</f>
        <v>1415760</v>
      </c>
      <c r="D46" s="129"/>
      <c r="E46" s="130">
        <v>825860</v>
      </c>
      <c r="F46" s="131">
        <f t="shared" si="1"/>
        <v>589900</v>
      </c>
      <c r="G46" s="56">
        <f t="shared" si="2"/>
        <v>58.333333333333336</v>
      </c>
    </row>
    <row r="47" spans="1:7" s="70" customFormat="1" x14ac:dyDescent="0.55000000000000004">
      <c r="A47" s="57">
        <v>41</v>
      </c>
      <c r="B47" s="58" t="s">
        <v>45</v>
      </c>
      <c r="C47" s="128">
        <f>438180-131220+306960</f>
        <v>613920</v>
      </c>
      <c r="D47" s="129"/>
      <c r="E47" s="130">
        <v>358120</v>
      </c>
      <c r="F47" s="131">
        <f t="shared" si="1"/>
        <v>255800</v>
      </c>
      <c r="G47" s="56">
        <f t="shared" si="2"/>
        <v>58.333333333333336</v>
      </c>
    </row>
    <row r="48" spans="1:7" s="70" customFormat="1" x14ac:dyDescent="0.55000000000000004">
      <c r="A48" s="57">
        <v>42</v>
      </c>
      <c r="B48" s="58" t="s">
        <v>46</v>
      </c>
      <c r="C48" s="128">
        <f>516900+19680+536580</f>
        <v>1073160</v>
      </c>
      <c r="D48" s="129"/>
      <c r="E48" s="130">
        <v>626010</v>
      </c>
      <c r="F48" s="131">
        <f t="shared" si="1"/>
        <v>447150</v>
      </c>
      <c r="G48" s="56">
        <f t="shared" si="2"/>
        <v>58.333333333333336</v>
      </c>
    </row>
    <row r="49" spans="1:7" s="70" customFormat="1" x14ac:dyDescent="0.55000000000000004">
      <c r="A49" s="57">
        <v>43</v>
      </c>
      <c r="B49" s="58" t="s">
        <v>47</v>
      </c>
      <c r="C49" s="128">
        <f>674280+25620+699900</f>
        <v>1399800</v>
      </c>
      <c r="D49" s="129"/>
      <c r="E49" s="130">
        <v>816550</v>
      </c>
      <c r="F49" s="131">
        <f t="shared" si="1"/>
        <v>583250</v>
      </c>
      <c r="G49" s="56">
        <f t="shared" si="2"/>
        <v>58.333333333333336</v>
      </c>
    </row>
    <row r="50" spans="1:7" s="70" customFormat="1" x14ac:dyDescent="0.55000000000000004">
      <c r="A50" s="57">
        <v>44</v>
      </c>
      <c r="B50" s="58" t="s">
        <v>48</v>
      </c>
      <c r="C50" s="128">
        <f>561720+21360+583080</f>
        <v>1166160</v>
      </c>
      <c r="D50" s="129"/>
      <c r="E50" s="130">
        <v>680260</v>
      </c>
      <c r="F50" s="131">
        <f t="shared" si="1"/>
        <v>485900</v>
      </c>
      <c r="G50" s="56">
        <f t="shared" si="2"/>
        <v>58.333333333333336</v>
      </c>
    </row>
    <row r="51" spans="1:7" s="70" customFormat="1" x14ac:dyDescent="0.55000000000000004">
      <c r="A51" s="57">
        <v>45</v>
      </c>
      <c r="B51" s="58" t="s">
        <v>49</v>
      </c>
      <c r="C51" s="128">
        <f>490740+124560+615300</f>
        <v>1230600</v>
      </c>
      <c r="D51" s="129"/>
      <c r="E51" s="130">
        <v>717850</v>
      </c>
      <c r="F51" s="131">
        <f t="shared" si="1"/>
        <v>512750</v>
      </c>
      <c r="G51" s="56">
        <f t="shared" si="2"/>
        <v>58.333333333333336</v>
      </c>
    </row>
    <row r="52" spans="1:7" s="70" customFormat="1" x14ac:dyDescent="0.55000000000000004">
      <c r="A52" s="57">
        <v>46</v>
      </c>
      <c r="B52" s="58" t="s">
        <v>50</v>
      </c>
      <c r="C52" s="128">
        <f>430560+128460+559020</f>
        <v>1118040</v>
      </c>
      <c r="D52" s="129"/>
      <c r="E52" s="130">
        <v>652190</v>
      </c>
      <c r="F52" s="131">
        <f t="shared" si="1"/>
        <v>465850</v>
      </c>
      <c r="G52" s="56">
        <f t="shared" si="2"/>
        <v>58.333333333333336</v>
      </c>
    </row>
    <row r="53" spans="1:7" s="70" customFormat="1" x14ac:dyDescent="0.55000000000000004">
      <c r="A53" s="57">
        <v>47</v>
      </c>
      <c r="B53" s="58" t="s">
        <v>51</v>
      </c>
      <c r="C53" s="128">
        <f>294840+11220+306060</f>
        <v>612120</v>
      </c>
      <c r="D53" s="129"/>
      <c r="E53" s="130">
        <v>357070</v>
      </c>
      <c r="F53" s="131">
        <f t="shared" si="1"/>
        <v>255050</v>
      </c>
      <c r="G53" s="56">
        <f t="shared" si="2"/>
        <v>58.333333333333336</v>
      </c>
    </row>
    <row r="54" spans="1:7" s="70" customFormat="1" x14ac:dyDescent="0.55000000000000004">
      <c r="A54" s="57">
        <v>48</v>
      </c>
      <c r="B54" s="58" t="s">
        <v>52</v>
      </c>
      <c r="C54" s="128">
        <f>633960+24060+658020</f>
        <v>1316040</v>
      </c>
      <c r="D54" s="129"/>
      <c r="E54" s="130">
        <v>727220</v>
      </c>
      <c r="F54" s="131">
        <f t="shared" si="1"/>
        <v>588820</v>
      </c>
      <c r="G54" s="56">
        <f t="shared" si="2"/>
        <v>55.258198838941063</v>
      </c>
    </row>
    <row r="55" spans="1:7" s="70" customFormat="1" x14ac:dyDescent="0.55000000000000004">
      <c r="A55" s="57">
        <v>49</v>
      </c>
      <c r="B55" s="58" t="s">
        <v>53</v>
      </c>
      <c r="C55" s="128">
        <f>547020+20820+567840</f>
        <v>1135680</v>
      </c>
      <c r="D55" s="129"/>
      <c r="E55" s="130">
        <v>662480</v>
      </c>
      <c r="F55" s="131">
        <f t="shared" si="1"/>
        <v>473200</v>
      </c>
      <c r="G55" s="56">
        <f t="shared" si="2"/>
        <v>58.333333333333336</v>
      </c>
    </row>
    <row r="56" spans="1:7" s="70" customFormat="1" x14ac:dyDescent="0.55000000000000004">
      <c r="A56" s="57">
        <v>50</v>
      </c>
      <c r="B56" s="58" t="s">
        <v>54</v>
      </c>
      <c r="C56" s="128">
        <f>568500+21600+590100</f>
        <v>1180200</v>
      </c>
      <c r="D56" s="129"/>
      <c r="E56" s="130">
        <v>688450</v>
      </c>
      <c r="F56" s="131">
        <f t="shared" si="1"/>
        <v>491750</v>
      </c>
      <c r="G56" s="56">
        <f t="shared" si="2"/>
        <v>58.333333333333336</v>
      </c>
    </row>
    <row r="57" spans="1:7" s="70" customFormat="1" x14ac:dyDescent="0.55000000000000004">
      <c r="A57" s="57">
        <v>51</v>
      </c>
      <c r="B57" s="58" t="s">
        <v>55</v>
      </c>
      <c r="C57" s="128">
        <f>548880+20820+569700</f>
        <v>1139400</v>
      </c>
      <c r="D57" s="129"/>
      <c r="E57" s="130">
        <v>664650</v>
      </c>
      <c r="F57" s="131">
        <f t="shared" si="1"/>
        <v>474750</v>
      </c>
      <c r="G57" s="56">
        <f t="shared" si="2"/>
        <v>58.333333333333336</v>
      </c>
    </row>
    <row r="58" spans="1:7" s="70" customFormat="1" x14ac:dyDescent="0.55000000000000004">
      <c r="A58" s="57">
        <v>52</v>
      </c>
      <c r="B58" s="58" t="s">
        <v>56</v>
      </c>
      <c r="C58" s="128">
        <f>257700+9780+267480</f>
        <v>534960</v>
      </c>
      <c r="D58" s="129"/>
      <c r="E58" s="130">
        <v>312060</v>
      </c>
      <c r="F58" s="131">
        <f t="shared" si="1"/>
        <v>222900</v>
      </c>
      <c r="G58" s="56">
        <f t="shared" si="2"/>
        <v>58.333333333333336</v>
      </c>
    </row>
    <row r="59" spans="1:7" s="70" customFormat="1" x14ac:dyDescent="0.55000000000000004">
      <c r="A59" s="57">
        <v>53</v>
      </c>
      <c r="B59" s="58" t="s">
        <v>57</v>
      </c>
      <c r="C59" s="128">
        <f>501480-93060+108000+474360</f>
        <v>990780</v>
      </c>
      <c r="D59" s="129"/>
      <c r="E59" s="130">
        <v>574676.12</v>
      </c>
      <c r="F59" s="131">
        <f t="shared" si="1"/>
        <v>416103.88</v>
      </c>
      <c r="G59" s="56">
        <f t="shared" si="2"/>
        <v>58.002394073356342</v>
      </c>
    </row>
    <row r="60" spans="1:7" s="70" customFormat="1" x14ac:dyDescent="0.55000000000000004">
      <c r="A60" s="57">
        <v>54</v>
      </c>
      <c r="B60" s="58" t="s">
        <v>58</v>
      </c>
      <c r="C60" s="128">
        <f>768180+29160+797340</f>
        <v>1594680</v>
      </c>
      <c r="D60" s="129"/>
      <c r="E60" s="130">
        <v>930230</v>
      </c>
      <c r="F60" s="131">
        <f t="shared" si="1"/>
        <v>664450</v>
      </c>
      <c r="G60" s="56">
        <f t="shared" si="2"/>
        <v>58.333333333333336</v>
      </c>
    </row>
    <row r="61" spans="1:7" s="70" customFormat="1" x14ac:dyDescent="0.55000000000000004">
      <c r="A61" s="57">
        <v>55</v>
      </c>
      <c r="B61" s="58" t="s">
        <v>59</v>
      </c>
      <c r="C61" s="128">
        <f>773280+29340+802620</f>
        <v>1605240</v>
      </c>
      <c r="D61" s="129"/>
      <c r="E61" s="130">
        <v>883363</v>
      </c>
      <c r="F61" s="131">
        <f t="shared" si="1"/>
        <v>721877</v>
      </c>
      <c r="G61" s="56">
        <f t="shared" si="2"/>
        <v>55.029964366699062</v>
      </c>
    </row>
    <row r="62" spans="1:7" s="70" customFormat="1" x14ac:dyDescent="0.55000000000000004">
      <c r="A62" s="57">
        <v>56</v>
      </c>
      <c r="B62" s="58" t="s">
        <v>60</v>
      </c>
      <c r="C62" s="128">
        <f>521280+19740+541020</f>
        <v>1082040</v>
      </c>
      <c r="D62" s="129"/>
      <c r="E62" s="130">
        <v>631190</v>
      </c>
      <c r="F62" s="131">
        <f t="shared" si="1"/>
        <v>450850</v>
      </c>
      <c r="G62" s="56">
        <f t="shared" si="2"/>
        <v>58.333333333333336</v>
      </c>
    </row>
    <row r="63" spans="1:7" s="70" customFormat="1" x14ac:dyDescent="0.55000000000000004">
      <c r="A63" s="57">
        <v>57</v>
      </c>
      <c r="B63" s="58" t="s">
        <v>61</v>
      </c>
      <c r="C63" s="128">
        <f>663240+25140+688380</f>
        <v>1376760</v>
      </c>
      <c r="D63" s="129"/>
      <c r="E63" s="130">
        <v>803110</v>
      </c>
      <c r="F63" s="131">
        <f t="shared" si="1"/>
        <v>573650</v>
      </c>
      <c r="G63" s="56">
        <f t="shared" si="2"/>
        <v>58.333333333333336</v>
      </c>
    </row>
    <row r="64" spans="1:7" s="70" customFormat="1" x14ac:dyDescent="0.55000000000000004">
      <c r="A64" s="57">
        <v>58</v>
      </c>
      <c r="B64" s="58" t="s">
        <v>62</v>
      </c>
      <c r="C64" s="128">
        <f>519720+19740+539460</f>
        <v>1078920</v>
      </c>
      <c r="D64" s="129"/>
      <c r="E64" s="130">
        <v>629370</v>
      </c>
      <c r="F64" s="131">
        <f t="shared" si="1"/>
        <v>449550</v>
      </c>
      <c r="G64" s="56">
        <f t="shared" si="2"/>
        <v>58.333333333333336</v>
      </c>
    </row>
    <row r="65" spans="1:12" s="70" customFormat="1" x14ac:dyDescent="0.55000000000000004">
      <c r="A65" s="57">
        <v>59</v>
      </c>
      <c r="B65" s="58" t="s">
        <v>63</v>
      </c>
      <c r="C65" s="128">
        <f>708540+26880+735420</f>
        <v>1470840</v>
      </c>
      <c r="D65" s="129"/>
      <c r="E65" s="130">
        <v>857990</v>
      </c>
      <c r="F65" s="131">
        <f t="shared" si="1"/>
        <v>612850</v>
      </c>
      <c r="G65" s="56">
        <f t="shared" si="2"/>
        <v>58.333333333333336</v>
      </c>
    </row>
    <row r="66" spans="1:12" s="70" customFormat="1" x14ac:dyDescent="0.55000000000000004">
      <c r="A66" s="57">
        <v>60</v>
      </c>
      <c r="B66" s="58" t="s">
        <v>64</v>
      </c>
      <c r="C66" s="128">
        <f>630480+23940+646200</f>
        <v>1300620</v>
      </c>
      <c r="D66" s="129"/>
      <c r="E66" s="130">
        <v>738059.35</v>
      </c>
      <c r="F66" s="131">
        <f t="shared" si="1"/>
        <v>562560.65</v>
      </c>
      <c r="G66" s="56">
        <f t="shared" si="2"/>
        <v>56.746732327659117</v>
      </c>
    </row>
    <row r="67" spans="1:12" s="70" customFormat="1" x14ac:dyDescent="0.55000000000000004">
      <c r="A67" s="57">
        <v>61</v>
      </c>
      <c r="B67" s="58" t="s">
        <v>65</v>
      </c>
      <c r="C67" s="128">
        <f>677940+25860+703800</f>
        <v>1407600</v>
      </c>
      <c r="D67" s="129"/>
      <c r="E67" s="130">
        <v>821100</v>
      </c>
      <c r="F67" s="131">
        <f t="shared" si="1"/>
        <v>586500</v>
      </c>
      <c r="G67" s="56">
        <f t="shared" si="2"/>
        <v>58.333333333333336</v>
      </c>
    </row>
    <row r="68" spans="1:12" s="70" customFormat="1" x14ac:dyDescent="0.55000000000000004">
      <c r="A68" s="57">
        <v>62</v>
      </c>
      <c r="B68" s="58" t="s">
        <v>66</v>
      </c>
      <c r="C68" s="128">
        <f>681660+25860+707520</f>
        <v>1415040</v>
      </c>
      <c r="D68" s="129"/>
      <c r="E68" s="130">
        <v>825440</v>
      </c>
      <c r="F68" s="131">
        <f t="shared" si="1"/>
        <v>589600</v>
      </c>
      <c r="G68" s="56">
        <f t="shared" si="2"/>
        <v>58.333333333333336</v>
      </c>
    </row>
    <row r="69" spans="1:12" s="70" customFormat="1" x14ac:dyDescent="0.55000000000000004">
      <c r="A69" s="57">
        <v>63</v>
      </c>
      <c r="B69" s="58" t="s">
        <v>67</v>
      </c>
      <c r="C69" s="128">
        <f>414660+15720+430380</f>
        <v>860760</v>
      </c>
      <c r="D69" s="129"/>
      <c r="E69" s="130">
        <v>455752.5</v>
      </c>
      <c r="F69" s="131">
        <f t="shared" si="1"/>
        <v>405007.5</v>
      </c>
      <c r="G69" s="56">
        <f t="shared" si="2"/>
        <v>52.947685766067195</v>
      </c>
    </row>
    <row r="70" spans="1:12" s="70" customFormat="1" x14ac:dyDescent="0.55000000000000004">
      <c r="A70" s="57">
        <v>64</v>
      </c>
      <c r="B70" s="58" t="s">
        <v>68</v>
      </c>
      <c r="C70" s="128">
        <f>299520+11400+310920</f>
        <v>621840</v>
      </c>
      <c r="D70" s="129"/>
      <c r="E70" s="130">
        <v>362740</v>
      </c>
      <c r="F70" s="131">
        <f t="shared" si="1"/>
        <v>259100</v>
      </c>
      <c r="G70" s="56">
        <f t="shared" ref="G70:G82" si="3">SUM(E70*100/C70)</f>
        <v>58.333333333333336</v>
      </c>
    </row>
    <row r="71" spans="1:12" s="70" customFormat="1" x14ac:dyDescent="0.55000000000000004">
      <c r="A71" s="57">
        <v>65</v>
      </c>
      <c r="B71" s="58" t="s">
        <v>69</v>
      </c>
      <c r="C71" s="128">
        <f>813360+26700+840060</f>
        <v>1680120</v>
      </c>
      <c r="D71" s="129"/>
      <c r="E71" s="130">
        <v>980070</v>
      </c>
      <c r="F71" s="131">
        <f t="shared" si="1"/>
        <v>700050</v>
      </c>
      <c r="G71" s="56">
        <f t="shared" si="3"/>
        <v>58.333333333333336</v>
      </c>
    </row>
    <row r="72" spans="1:12" s="70" customFormat="1" x14ac:dyDescent="0.55000000000000004">
      <c r="A72" s="57">
        <v>66</v>
      </c>
      <c r="B72" s="58" t="s">
        <v>70</v>
      </c>
      <c r="C72" s="128">
        <f>687540+26100+713640</f>
        <v>1427280</v>
      </c>
      <c r="D72" s="129"/>
      <c r="E72" s="130">
        <v>832580</v>
      </c>
      <c r="F72" s="131">
        <f t="shared" ref="F72:F82" si="4">SUM(C72-D72-E72)</f>
        <v>594700</v>
      </c>
      <c r="G72" s="56">
        <f t="shared" si="3"/>
        <v>58.333333333333336</v>
      </c>
    </row>
    <row r="73" spans="1:12" s="70" customFormat="1" x14ac:dyDescent="0.55000000000000004">
      <c r="A73" s="57">
        <v>67</v>
      </c>
      <c r="B73" s="58" t="s">
        <v>71</v>
      </c>
      <c r="C73" s="128">
        <f>403500+15300+418800</f>
        <v>837600</v>
      </c>
      <c r="D73" s="129"/>
      <c r="E73" s="130">
        <v>488600</v>
      </c>
      <c r="F73" s="131">
        <f t="shared" si="4"/>
        <v>349000</v>
      </c>
      <c r="G73" s="56">
        <f t="shared" si="3"/>
        <v>58.333333333333336</v>
      </c>
    </row>
    <row r="74" spans="1:12" s="70" customFormat="1" x14ac:dyDescent="0.55000000000000004">
      <c r="A74" s="57">
        <v>68</v>
      </c>
      <c r="B74" s="58" t="s">
        <v>72</v>
      </c>
      <c r="C74" s="128">
        <f>627300+23820+651120</f>
        <v>1302240</v>
      </c>
      <c r="D74" s="129"/>
      <c r="E74" s="130">
        <v>759640</v>
      </c>
      <c r="F74" s="131">
        <f t="shared" si="4"/>
        <v>542600</v>
      </c>
      <c r="G74" s="56">
        <f t="shared" si="3"/>
        <v>58.333333333333336</v>
      </c>
      <c r="I74" s="132"/>
      <c r="J74" s="132"/>
      <c r="K74" s="132"/>
      <c r="L74" s="132"/>
    </row>
    <row r="75" spans="1:12" s="70" customFormat="1" x14ac:dyDescent="0.55000000000000004">
      <c r="A75" s="57">
        <v>69</v>
      </c>
      <c r="B75" s="58" t="s">
        <v>73</v>
      </c>
      <c r="C75" s="128">
        <f>691020+26220+717240</f>
        <v>1434480</v>
      </c>
      <c r="D75" s="129"/>
      <c r="E75" s="130">
        <v>836780</v>
      </c>
      <c r="F75" s="131">
        <f t="shared" si="4"/>
        <v>597700</v>
      </c>
      <c r="G75" s="56">
        <f t="shared" si="3"/>
        <v>58.333333333333336</v>
      </c>
    </row>
    <row r="76" spans="1:12" s="70" customFormat="1" x14ac:dyDescent="0.55000000000000004">
      <c r="A76" s="57">
        <v>70</v>
      </c>
      <c r="B76" s="58" t="s">
        <v>74</v>
      </c>
      <c r="C76" s="128">
        <f>558360+21180+579540+5880</f>
        <v>1164960</v>
      </c>
      <c r="D76" s="129"/>
      <c r="E76" s="130">
        <v>650790</v>
      </c>
      <c r="F76" s="131">
        <f t="shared" si="4"/>
        <v>514170</v>
      </c>
      <c r="G76" s="56">
        <f t="shared" si="3"/>
        <v>55.863720642768854</v>
      </c>
      <c r="L76" s="70" t="s">
        <v>115</v>
      </c>
    </row>
    <row r="77" spans="1:12" s="70" customFormat="1" x14ac:dyDescent="0.55000000000000004">
      <c r="A77" s="57">
        <v>71</v>
      </c>
      <c r="B77" s="58" t="s">
        <v>75</v>
      </c>
      <c r="C77" s="128">
        <f>690060+26220+716280</f>
        <v>1432560</v>
      </c>
      <c r="D77" s="129"/>
      <c r="E77" s="130">
        <v>835660</v>
      </c>
      <c r="F77" s="131">
        <f t="shared" si="4"/>
        <v>596900</v>
      </c>
      <c r="G77" s="56">
        <f t="shared" si="3"/>
        <v>58.333333333333336</v>
      </c>
    </row>
    <row r="78" spans="1:12" s="70" customFormat="1" x14ac:dyDescent="0.55000000000000004">
      <c r="A78" s="57">
        <v>72</v>
      </c>
      <c r="B78" s="58" t="s">
        <v>76</v>
      </c>
      <c r="C78" s="128">
        <f>525720+19920+545640</f>
        <v>1091280</v>
      </c>
      <c r="D78" s="129"/>
      <c r="E78" s="130">
        <v>636580</v>
      </c>
      <c r="F78" s="131">
        <f t="shared" si="4"/>
        <v>454700</v>
      </c>
      <c r="G78" s="56">
        <f t="shared" si="3"/>
        <v>58.333333333333336</v>
      </c>
    </row>
    <row r="79" spans="1:12" s="70" customFormat="1" x14ac:dyDescent="0.55000000000000004">
      <c r="A79" s="57">
        <v>73</v>
      </c>
      <c r="B79" s="58" t="s">
        <v>77</v>
      </c>
      <c r="C79" s="128">
        <f>846900+32160+879060+33360</f>
        <v>1791480</v>
      </c>
      <c r="D79" s="129"/>
      <c r="E79" s="130">
        <v>1051830</v>
      </c>
      <c r="F79" s="131">
        <f t="shared" si="4"/>
        <v>739650</v>
      </c>
      <c r="G79" s="56">
        <f t="shared" si="3"/>
        <v>58.71290776341349</v>
      </c>
    </row>
    <row r="80" spans="1:12" s="70" customFormat="1" x14ac:dyDescent="0.55000000000000004">
      <c r="A80" s="57">
        <v>74</v>
      </c>
      <c r="B80" s="58" t="s">
        <v>78</v>
      </c>
      <c r="C80" s="128">
        <f>836520+31740+868260+27720</f>
        <v>1764240</v>
      </c>
      <c r="D80" s="129"/>
      <c r="E80" s="130">
        <v>1012970</v>
      </c>
      <c r="F80" s="131">
        <f t="shared" si="4"/>
        <v>751270</v>
      </c>
      <c r="G80" s="56">
        <f t="shared" si="3"/>
        <v>57.416791366254024</v>
      </c>
    </row>
    <row r="81" spans="1:7" s="70" customFormat="1" x14ac:dyDescent="0.55000000000000004">
      <c r="A81" s="57">
        <v>75</v>
      </c>
      <c r="B81" s="58" t="s">
        <v>79</v>
      </c>
      <c r="C81" s="128">
        <f>591180+22380+613560+240</f>
        <v>1227360</v>
      </c>
      <c r="D81" s="129"/>
      <c r="E81" s="130">
        <v>715820</v>
      </c>
      <c r="F81" s="131">
        <f t="shared" si="4"/>
        <v>511540</v>
      </c>
      <c r="G81" s="56">
        <f t="shared" si="3"/>
        <v>58.321926737061659</v>
      </c>
    </row>
    <row r="82" spans="1:7" s="70" customFormat="1" x14ac:dyDescent="0.55000000000000004">
      <c r="A82" s="57">
        <v>76</v>
      </c>
      <c r="B82" s="58" t="s">
        <v>80</v>
      </c>
      <c r="C82" s="128">
        <f>502380+19080+521460</f>
        <v>1042920</v>
      </c>
      <c r="D82" s="129"/>
      <c r="E82" s="130">
        <v>599370</v>
      </c>
      <c r="F82" s="131">
        <f t="shared" si="4"/>
        <v>443550</v>
      </c>
      <c r="G82" s="56">
        <f t="shared" si="3"/>
        <v>57.470371648832128</v>
      </c>
    </row>
  </sheetData>
  <sheetProtection selectLockedCells="1"/>
  <mergeCells count="6">
    <mergeCell ref="A6:B6"/>
    <mergeCell ref="A4:A5"/>
    <mergeCell ref="B4:B5"/>
    <mergeCell ref="C4:G4"/>
    <mergeCell ref="A1:G1"/>
    <mergeCell ref="A2:G2"/>
  </mergeCells>
  <pageMargins left="0.23622047244094491" right="0.23622047244094491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1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ColWidth="15.625" defaultRowHeight="24" x14ac:dyDescent="0.55000000000000004"/>
  <cols>
    <col min="1" max="1" width="6.375" style="28" bestFit="1" customWidth="1"/>
    <col min="2" max="2" width="23.125" style="44" bestFit="1" customWidth="1"/>
    <col min="3" max="3" width="22.875" style="28" bestFit="1" customWidth="1"/>
    <col min="4" max="4" width="30.875" style="45" bestFit="1" customWidth="1"/>
    <col min="5" max="6" width="22.875" style="28" bestFit="1" customWidth="1"/>
    <col min="7" max="7" width="27.25" style="28" bestFit="1" customWidth="1"/>
    <col min="8" max="8" width="28.625" style="28" bestFit="1" customWidth="1"/>
    <col min="9" max="10" width="22.875" style="28" bestFit="1" customWidth="1"/>
    <col min="11" max="11" width="24.5" style="28" bestFit="1" customWidth="1"/>
    <col min="12" max="12" width="30.875" style="45" bestFit="1" customWidth="1"/>
    <col min="13" max="13" width="22.875" style="28" bestFit="1" customWidth="1"/>
    <col min="14" max="15" width="24.5" style="28" bestFit="1" customWidth="1"/>
    <col min="16" max="16" width="28.625" style="28" bestFit="1" customWidth="1"/>
    <col min="17" max="18" width="22.875" style="28" bestFit="1" customWidth="1"/>
    <col min="19" max="19" width="26" style="28" bestFit="1" customWidth="1"/>
    <col min="20" max="16384" width="15.625" style="28"/>
  </cols>
  <sheetData>
    <row r="1" spans="1:19" s="42" customFormat="1" ht="27.75" x14ac:dyDescent="0.65">
      <c r="A1" s="75" t="s">
        <v>137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9" s="42" customFormat="1" ht="27.75" x14ac:dyDescent="0.65">
      <c r="A2" s="75" t="s">
        <v>136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9" s="42" customFormat="1" x14ac:dyDescent="0.55000000000000004">
      <c r="A3" s="43"/>
      <c r="B3" s="43"/>
      <c r="D3" s="48"/>
      <c r="L3" s="48"/>
    </row>
    <row r="4" spans="1:19" ht="81" customHeight="1" x14ac:dyDescent="0.55000000000000004">
      <c r="A4" s="78" t="s">
        <v>0</v>
      </c>
      <c r="B4" s="78" t="s">
        <v>1</v>
      </c>
      <c r="C4" s="80" t="s">
        <v>120</v>
      </c>
      <c r="D4" s="80"/>
      <c r="E4" s="80"/>
      <c r="F4" s="80"/>
      <c r="G4" s="80" t="s">
        <v>121</v>
      </c>
      <c r="H4" s="80"/>
      <c r="I4" s="80"/>
      <c r="J4" s="80"/>
      <c r="K4" s="80" t="s">
        <v>122</v>
      </c>
      <c r="L4" s="80"/>
      <c r="M4" s="80"/>
      <c r="N4" s="80"/>
      <c r="O4" s="72" t="s">
        <v>93</v>
      </c>
      <c r="P4" s="73"/>
      <c r="Q4" s="73"/>
      <c r="R4" s="73"/>
      <c r="S4" s="74"/>
    </row>
    <row r="5" spans="1:19" x14ac:dyDescent="0.55000000000000004">
      <c r="A5" s="79"/>
      <c r="B5" s="79"/>
      <c r="C5" s="29" t="s">
        <v>2</v>
      </c>
      <c r="D5" s="26" t="s">
        <v>111</v>
      </c>
      <c r="E5" s="29" t="s">
        <v>3</v>
      </c>
      <c r="F5" s="29" t="s">
        <v>4</v>
      </c>
      <c r="G5" s="29" t="s">
        <v>2</v>
      </c>
      <c r="H5" s="29" t="s">
        <v>111</v>
      </c>
      <c r="I5" s="29" t="s">
        <v>3</v>
      </c>
      <c r="J5" s="29" t="s">
        <v>4</v>
      </c>
      <c r="K5" s="29" t="s">
        <v>2</v>
      </c>
      <c r="L5" s="26" t="s">
        <v>111</v>
      </c>
      <c r="M5" s="29" t="s">
        <v>3</v>
      </c>
      <c r="N5" s="29" t="s">
        <v>4</v>
      </c>
      <c r="O5" s="29" t="s">
        <v>2</v>
      </c>
      <c r="P5" s="29" t="s">
        <v>111</v>
      </c>
      <c r="Q5" s="29" t="s">
        <v>3</v>
      </c>
      <c r="R5" s="29" t="s">
        <v>4</v>
      </c>
      <c r="S5" s="29" t="s">
        <v>110</v>
      </c>
    </row>
    <row r="6" spans="1:19" x14ac:dyDescent="0.55000000000000004">
      <c r="A6" s="76" t="s">
        <v>82</v>
      </c>
      <c r="B6" s="77"/>
      <c r="C6" s="31">
        <f>SUM(C7:C82)</f>
        <v>53684042</v>
      </c>
      <c r="D6" s="33">
        <f>SUM(D7:D82)</f>
        <v>5298404.13</v>
      </c>
      <c r="E6" s="31">
        <f>SUM(E7:E82)</f>
        <v>32823681.149999999</v>
      </c>
      <c r="F6" s="31">
        <f>SUM(C6-D6-E6)</f>
        <v>15561956.719999999</v>
      </c>
      <c r="G6" s="31">
        <f>SUM(G7:G82)</f>
        <v>26454523</v>
      </c>
      <c r="H6" s="31">
        <f>SUM(H7:H82)</f>
        <v>0</v>
      </c>
      <c r="I6" s="31">
        <f>SUM(I7:I82)</f>
        <v>20707258.569999997</v>
      </c>
      <c r="J6" s="31">
        <f>SUM(G6-I6)</f>
        <v>5747264.4300000034</v>
      </c>
      <c r="K6" s="31">
        <f>SUM(K7:K82)</f>
        <v>191881212.40000001</v>
      </c>
      <c r="L6" s="33">
        <f>SUM(L7:L82)</f>
        <v>24574184.59</v>
      </c>
      <c r="M6" s="31">
        <f>SUM(M7:M82)</f>
        <v>101983955.45</v>
      </c>
      <c r="N6" s="31">
        <f>SUM(K6-L6-M6)</f>
        <v>65323072.359999999</v>
      </c>
      <c r="O6" s="31">
        <f t="shared" ref="O6:O37" si="0">SUM(C6+G6+K6)</f>
        <v>272019777.39999998</v>
      </c>
      <c r="P6" s="31">
        <f t="shared" ref="P6:P37" si="1">SUM(D6+H6+L6)</f>
        <v>29872588.719999999</v>
      </c>
      <c r="Q6" s="31">
        <f t="shared" ref="Q6:Q37" si="2">SUM(E6+I6+M6)</f>
        <v>155514895.17000002</v>
      </c>
      <c r="R6" s="31">
        <f>SUM(O6-P6-Q6)</f>
        <v>86632293.509999961</v>
      </c>
      <c r="S6" s="31">
        <f t="shared" ref="S6:S37" si="3">SUM(Q6*100/O6)</f>
        <v>57.170436891181737</v>
      </c>
    </row>
    <row r="7" spans="1:19" s="70" customFormat="1" ht="23.25" customHeight="1" x14ac:dyDescent="0.55000000000000004">
      <c r="A7" s="57">
        <v>1</v>
      </c>
      <c r="B7" s="58" t="s">
        <v>5</v>
      </c>
      <c r="C7" s="129">
        <f>100000+243500+100000+243500</f>
        <v>687000</v>
      </c>
      <c r="D7" s="133">
        <v>40583.33</v>
      </c>
      <c r="E7" s="130">
        <v>430299</v>
      </c>
      <c r="F7" s="129">
        <f>SUM(C7-D7-E7)</f>
        <v>216117.67000000004</v>
      </c>
      <c r="G7" s="129">
        <f>18000+314865+1890+33135+260000+18000</f>
        <v>645890</v>
      </c>
      <c r="H7" s="129"/>
      <c r="I7" s="130">
        <v>565270</v>
      </c>
      <c r="J7" s="129">
        <f>SUM(G7-H7-I7)</f>
        <v>80620</v>
      </c>
      <c r="K7" s="129">
        <f>397000+20000+789000</f>
        <v>1206000</v>
      </c>
      <c r="L7" s="133"/>
      <c r="M7" s="130">
        <v>958504.65</v>
      </c>
      <c r="N7" s="129">
        <f>SUM(K7-L7-M7)</f>
        <v>247495.34999999998</v>
      </c>
      <c r="O7" s="134">
        <f t="shared" si="0"/>
        <v>2538890</v>
      </c>
      <c r="P7" s="134">
        <f t="shared" si="1"/>
        <v>40583.33</v>
      </c>
      <c r="Q7" s="134">
        <f t="shared" si="2"/>
        <v>1954073.65</v>
      </c>
      <c r="R7" s="134">
        <f>SUM(O7-P7-Q7)</f>
        <v>544233.02</v>
      </c>
      <c r="S7" s="56">
        <f t="shared" si="3"/>
        <v>76.96566806754133</v>
      </c>
    </row>
    <row r="8" spans="1:19" s="70" customFormat="1" ht="23.25" customHeight="1" x14ac:dyDescent="0.55000000000000004">
      <c r="A8" s="57">
        <v>2</v>
      </c>
      <c r="B8" s="58" t="s">
        <v>6</v>
      </c>
      <c r="C8" s="129">
        <f>100000+573480+100000+573480</f>
        <v>1346960</v>
      </c>
      <c r="D8" s="133"/>
      <c r="E8" s="130">
        <v>629088.69999999995</v>
      </c>
      <c r="F8" s="129">
        <f>SUM(C8-D8-E8)</f>
        <v>717871.3</v>
      </c>
      <c r="G8" s="129">
        <f>9000+273500+950+220000+9000</f>
        <v>512450</v>
      </c>
      <c r="H8" s="129"/>
      <c r="I8" s="130">
        <v>449934</v>
      </c>
      <c r="J8" s="129">
        <f>SUM(G8-H8-I8)</f>
        <v>62516</v>
      </c>
      <c r="K8" s="129">
        <f>13910+303000+13910+475000</f>
        <v>805820</v>
      </c>
      <c r="L8" s="133"/>
      <c r="M8" s="130">
        <v>617856.19999999995</v>
      </c>
      <c r="N8" s="129">
        <f>SUM(K8-L8-M8)</f>
        <v>187963.80000000005</v>
      </c>
      <c r="O8" s="134">
        <f t="shared" si="0"/>
        <v>2665230</v>
      </c>
      <c r="P8" s="134">
        <f t="shared" si="1"/>
        <v>0</v>
      </c>
      <c r="Q8" s="135">
        <f>SUM(E8+I8+M8)</f>
        <v>1696878.9</v>
      </c>
      <c r="R8" s="134">
        <f t="shared" ref="R8:R71" si="4">SUM(O8-P8-Q8)</f>
        <v>968351.10000000009</v>
      </c>
      <c r="S8" s="56">
        <f t="shared" si="3"/>
        <v>63.66725948604811</v>
      </c>
    </row>
    <row r="9" spans="1:19" s="70" customFormat="1" x14ac:dyDescent="0.55000000000000004">
      <c r="A9" s="57">
        <v>3</v>
      </c>
      <c r="B9" s="58" t="s">
        <v>7</v>
      </c>
      <c r="C9" s="129">
        <f>100000+452000+100000+8648+452000+65000</f>
        <v>1177648</v>
      </c>
      <c r="D9" s="133">
        <v>452180.8</v>
      </c>
      <c r="E9" s="130">
        <v>541177.56000000006</v>
      </c>
      <c r="F9" s="129">
        <f>SUM(C9-D9-E9)</f>
        <v>184289.6399999999</v>
      </c>
      <c r="G9" s="129">
        <f>22500+194400+2390+210800+22500</f>
        <v>452590</v>
      </c>
      <c r="H9" s="129"/>
      <c r="I9" s="130">
        <v>304438</v>
      </c>
      <c r="J9" s="129">
        <f>SUM(G9-H9-I9)</f>
        <v>148152</v>
      </c>
      <c r="K9" s="129">
        <f>32100+381000+32100+613000</f>
        <v>1058200</v>
      </c>
      <c r="L9" s="133">
        <v>32100</v>
      </c>
      <c r="M9" s="130">
        <v>499891.86</v>
      </c>
      <c r="N9" s="129">
        <f>SUM(K9-L9-M9)</f>
        <v>526208.14</v>
      </c>
      <c r="O9" s="134">
        <f t="shared" si="0"/>
        <v>2688438</v>
      </c>
      <c r="P9" s="134">
        <f t="shared" si="1"/>
        <v>484280.8</v>
      </c>
      <c r="Q9" s="134">
        <f t="shared" si="2"/>
        <v>1345507.42</v>
      </c>
      <c r="R9" s="134">
        <f t="shared" si="4"/>
        <v>858649.78000000026</v>
      </c>
      <c r="S9" s="56">
        <f t="shared" si="3"/>
        <v>50.047924482543394</v>
      </c>
    </row>
    <row r="10" spans="1:19" s="70" customFormat="1" x14ac:dyDescent="0.55000000000000004">
      <c r="A10" s="57">
        <v>4</v>
      </c>
      <c r="B10" s="58" t="s">
        <v>8</v>
      </c>
      <c r="C10" s="129">
        <f>100000+688990+2816+100000+688900</f>
        <v>1580706</v>
      </c>
      <c r="D10" s="133">
        <v>688900</v>
      </c>
      <c r="E10" s="130">
        <v>780709.14</v>
      </c>
      <c r="F10" s="129">
        <f>SUM(C10-D10-E10)</f>
        <v>111096.85999999999</v>
      </c>
      <c r="G10" s="129">
        <f>22500+211000+2390+6000+188000+22500</f>
        <v>452390</v>
      </c>
      <c r="H10" s="129"/>
      <c r="I10" s="130">
        <v>345869</v>
      </c>
      <c r="J10" s="129">
        <f>SUM(G10-H10-I10)</f>
        <v>106521</v>
      </c>
      <c r="K10" s="129">
        <f>59606+120000+250000+608000+180000+160000+59606+830000</f>
        <v>2267212</v>
      </c>
      <c r="L10" s="133">
        <v>59606</v>
      </c>
      <c r="M10" s="130">
        <v>1642845.49</v>
      </c>
      <c r="N10" s="129">
        <f>SUM(K10-L10-M10)</f>
        <v>564760.51</v>
      </c>
      <c r="O10" s="134">
        <f t="shared" si="0"/>
        <v>4300308</v>
      </c>
      <c r="P10" s="134">
        <f t="shared" si="1"/>
        <v>748506</v>
      </c>
      <c r="Q10" s="134">
        <f t="shared" si="2"/>
        <v>2769423.63</v>
      </c>
      <c r="R10" s="134">
        <f t="shared" si="4"/>
        <v>782378.37000000011</v>
      </c>
      <c r="S10" s="56">
        <f t="shared" si="3"/>
        <v>64.400587818360918</v>
      </c>
    </row>
    <row r="11" spans="1:19" s="70" customFormat="1" x14ac:dyDescent="0.55000000000000004">
      <c r="A11" s="57">
        <v>5</v>
      </c>
      <c r="B11" s="58" t="s">
        <v>9</v>
      </c>
      <c r="C11" s="129">
        <f>100000+647724+100000+647724</f>
        <v>1495448</v>
      </c>
      <c r="D11" s="133"/>
      <c r="E11" s="130">
        <v>844167.4</v>
      </c>
      <c r="F11" s="129">
        <f t="shared" ref="F11:F74" si="5">SUM(C11-D11-E11)</f>
        <v>651280.6</v>
      </c>
      <c r="G11" s="129">
        <f>18000+2000+1850+18000</f>
        <v>39850</v>
      </c>
      <c r="H11" s="129"/>
      <c r="I11" s="130">
        <v>21601</v>
      </c>
      <c r="J11" s="129">
        <f t="shared" ref="J11:J74" si="6">SUM(G11-H11-I11)</f>
        <v>18249</v>
      </c>
      <c r="K11" s="129">
        <f>40000+434000+248000+16302+40000+589500</f>
        <v>1367802</v>
      </c>
      <c r="L11" s="133"/>
      <c r="M11" s="130">
        <v>1020388.22</v>
      </c>
      <c r="N11" s="129">
        <f t="shared" ref="N11:N74" si="7">SUM(K11-L11-M11)</f>
        <v>347413.78</v>
      </c>
      <c r="O11" s="134">
        <f t="shared" si="0"/>
        <v>2903100</v>
      </c>
      <c r="P11" s="134">
        <f t="shared" si="1"/>
        <v>0</v>
      </c>
      <c r="Q11" s="134">
        <f t="shared" si="2"/>
        <v>1886156.62</v>
      </c>
      <c r="R11" s="134">
        <f t="shared" si="4"/>
        <v>1016943.3799999999</v>
      </c>
      <c r="S11" s="56">
        <f t="shared" si="3"/>
        <v>64.970432296510623</v>
      </c>
    </row>
    <row r="12" spans="1:19" s="70" customFormat="1" x14ac:dyDescent="0.55000000000000004">
      <c r="A12" s="57">
        <v>6</v>
      </c>
      <c r="B12" s="58" t="s">
        <v>10</v>
      </c>
      <c r="C12" s="129">
        <f>100000+456000+100000+456000</f>
        <v>1112000</v>
      </c>
      <c r="D12" s="133">
        <v>456000</v>
      </c>
      <c r="E12" s="130">
        <v>608507</v>
      </c>
      <c r="F12" s="129">
        <f t="shared" si="5"/>
        <v>47493</v>
      </c>
      <c r="G12" s="129">
        <f>18000+147000+2360+4500+80600+22500</f>
        <v>274960</v>
      </c>
      <c r="H12" s="129"/>
      <c r="I12" s="130">
        <v>199460</v>
      </c>
      <c r="J12" s="129">
        <f t="shared" si="6"/>
        <v>75500</v>
      </c>
      <c r="K12" s="129">
        <f>39000+288000+39000+1054000</f>
        <v>1420000</v>
      </c>
      <c r="L12" s="133">
        <v>39000</v>
      </c>
      <c r="M12" s="130">
        <v>123263.24</v>
      </c>
      <c r="N12" s="129">
        <f t="shared" si="7"/>
        <v>1257736.76</v>
      </c>
      <c r="O12" s="134">
        <f t="shared" si="0"/>
        <v>2806960</v>
      </c>
      <c r="P12" s="134">
        <f t="shared" si="1"/>
        <v>495000</v>
      </c>
      <c r="Q12" s="134">
        <f t="shared" si="2"/>
        <v>931230.24</v>
      </c>
      <c r="R12" s="134">
        <f t="shared" si="4"/>
        <v>1380729.76</v>
      </c>
      <c r="S12" s="56">
        <f t="shared" si="3"/>
        <v>33.175757403026765</v>
      </c>
    </row>
    <row r="13" spans="1:19" s="70" customFormat="1" x14ac:dyDescent="0.55000000000000004">
      <c r="A13" s="57">
        <v>7</v>
      </c>
      <c r="B13" s="58" t="s">
        <v>11</v>
      </c>
      <c r="C13" s="129">
        <f>100000+545500+15460+100000+545500+2540</f>
        <v>1309000</v>
      </c>
      <c r="D13" s="133">
        <v>454583</v>
      </c>
      <c r="E13" s="130">
        <v>756895.85</v>
      </c>
      <c r="F13" s="129">
        <f t="shared" si="5"/>
        <v>97521.150000000023</v>
      </c>
      <c r="G13" s="129">
        <f>18000+114000+1910+108000+18000</f>
        <v>259910</v>
      </c>
      <c r="H13" s="129"/>
      <c r="I13" s="130">
        <v>215693</v>
      </c>
      <c r="J13" s="129">
        <f t="shared" si="6"/>
        <v>44217</v>
      </c>
      <c r="K13" s="129">
        <f>29211+326000+345878+29211+574000</f>
        <v>1304300</v>
      </c>
      <c r="L13" s="133">
        <v>29211</v>
      </c>
      <c r="M13" s="130">
        <v>1066529.97</v>
      </c>
      <c r="N13" s="129">
        <f t="shared" si="7"/>
        <v>208559.03000000003</v>
      </c>
      <c r="O13" s="134">
        <f t="shared" si="0"/>
        <v>2873210</v>
      </c>
      <c r="P13" s="134">
        <f t="shared" si="1"/>
        <v>483794</v>
      </c>
      <c r="Q13" s="134">
        <f t="shared" si="2"/>
        <v>2039118.8199999998</v>
      </c>
      <c r="R13" s="134">
        <f t="shared" si="4"/>
        <v>350297.18000000017</v>
      </c>
      <c r="S13" s="56">
        <f t="shared" si="3"/>
        <v>70.970058575600106</v>
      </c>
    </row>
    <row r="14" spans="1:19" s="70" customFormat="1" x14ac:dyDescent="0.55000000000000004">
      <c r="A14" s="57">
        <v>8</v>
      </c>
      <c r="B14" s="58" t="s">
        <v>12</v>
      </c>
      <c r="C14" s="129">
        <f>100000+19384+428000+5300+100000+428000+50900+2844</f>
        <v>1134428</v>
      </c>
      <c r="D14" s="133"/>
      <c r="E14" s="130">
        <v>527699.56000000006</v>
      </c>
      <c r="F14" s="129">
        <f t="shared" si="5"/>
        <v>606728.43999999994</v>
      </c>
      <c r="G14" s="129">
        <f>18000+298500+1920+238500+18000</f>
        <v>574920</v>
      </c>
      <c r="H14" s="129"/>
      <c r="I14" s="130">
        <v>439710</v>
      </c>
      <c r="J14" s="129">
        <f t="shared" si="6"/>
        <v>135210</v>
      </c>
      <c r="K14" s="129">
        <f>30000+365000+67000+30000+678600</f>
        <v>1170600</v>
      </c>
      <c r="L14" s="133"/>
      <c r="M14" s="130">
        <v>826616.24</v>
      </c>
      <c r="N14" s="129">
        <f t="shared" si="7"/>
        <v>343983.76</v>
      </c>
      <c r="O14" s="134">
        <f t="shared" si="0"/>
        <v>2879948</v>
      </c>
      <c r="P14" s="134">
        <f t="shared" si="1"/>
        <v>0</v>
      </c>
      <c r="Q14" s="134">
        <f t="shared" si="2"/>
        <v>1794025.8</v>
      </c>
      <c r="R14" s="134">
        <f t="shared" si="4"/>
        <v>1085922.2</v>
      </c>
      <c r="S14" s="56">
        <f t="shared" si="3"/>
        <v>62.293687247130848</v>
      </c>
    </row>
    <row r="15" spans="1:19" s="70" customFormat="1" x14ac:dyDescent="0.55000000000000004">
      <c r="A15" s="57">
        <v>9</v>
      </c>
      <c r="B15" s="58" t="s">
        <v>13</v>
      </c>
      <c r="C15" s="129">
        <f>100000+6976+899924+100000+899924+3572</f>
        <v>2010396</v>
      </c>
      <c r="D15" s="133">
        <v>35400</v>
      </c>
      <c r="E15" s="130">
        <v>1004345.5</v>
      </c>
      <c r="F15" s="129">
        <f t="shared" si="5"/>
        <v>970650.5</v>
      </c>
      <c r="G15" s="129">
        <f>22500+113845+2390+5755+139000+22500</f>
        <v>305990</v>
      </c>
      <c r="H15" s="129"/>
      <c r="I15" s="130">
        <v>219930</v>
      </c>
      <c r="J15" s="129">
        <f t="shared" si="6"/>
        <v>86060</v>
      </c>
      <c r="K15" s="129">
        <f>686000+1784725.4+68156</f>
        <v>2538881.4</v>
      </c>
      <c r="L15" s="133"/>
      <c r="M15" s="130">
        <v>1672186.76</v>
      </c>
      <c r="N15" s="129">
        <f t="shared" si="7"/>
        <v>866694.6399999999</v>
      </c>
      <c r="O15" s="134">
        <f t="shared" si="0"/>
        <v>4855267.4000000004</v>
      </c>
      <c r="P15" s="134">
        <f t="shared" si="1"/>
        <v>35400</v>
      </c>
      <c r="Q15" s="134">
        <f t="shared" si="2"/>
        <v>2896462.26</v>
      </c>
      <c r="R15" s="134">
        <f t="shared" si="4"/>
        <v>1923405.1400000006</v>
      </c>
      <c r="S15" s="56">
        <f t="shared" si="3"/>
        <v>59.656081146014735</v>
      </c>
    </row>
    <row r="16" spans="1:19" s="70" customFormat="1" x14ac:dyDescent="0.55000000000000004">
      <c r="A16" s="57">
        <v>10</v>
      </c>
      <c r="B16" s="58" t="s">
        <v>14</v>
      </c>
      <c r="C16" s="129">
        <f>100000+268800+100000+268800</f>
        <v>737600</v>
      </c>
      <c r="D16" s="133">
        <v>286800</v>
      </c>
      <c r="E16" s="130">
        <v>422804.67</v>
      </c>
      <c r="F16" s="129">
        <f t="shared" si="5"/>
        <v>27995.330000000016</v>
      </c>
      <c r="G16" s="129">
        <f>18000+235000+1860+51700+173600+18000</f>
        <v>498160</v>
      </c>
      <c r="H16" s="129"/>
      <c r="I16" s="130">
        <v>390004</v>
      </c>
      <c r="J16" s="129">
        <f t="shared" si="6"/>
        <v>108156</v>
      </c>
      <c r="K16" s="129">
        <f>120000+250000+346000+234330+200000+160000+744000</f>
        <v>2054330</v>
      </c>
      <c r="L16" s="133">
        <v>175747.5</v>
      </c>
      <c r="M16" s="130">
        <v>1227993.8700000001</v>
      </c>
      <c r="N16" s="129">
        <f t="shared" si="7"/>
        <v>650588.62999999989</v>
      </c>
      <c r="O16" s="134">
        <f t="shared" si="0"/>
        <v>3290090</v>
      </c>
      <c r="P16" s="134">
        <f t="shared" si="1"/>
        <v>462547.5</v>
      </c>
      <c r="Q16" s="134">
        <f t="shared" si="2"/>
        <v>2040802.54</v>
      </c>
      <c r="R16" s="134">
        <f t="shared" si="4"/>
        <v>786739.96</v>
      </c>
      <c r="S16" s="56">
        <f t="shared" si="3"/>
        <v>62.028775504621457</v>
      </c>
    </row>
    <row r="17" spans="1:19" s="70" customFormat="1" x14ac:dyDescent="0.55000000000000004">
      <c r="A17" s="57">
        <v>11</v>
      </c>
      <c r="B17" s="58" t="s">
        <v>15</v>
      </c>
      <c r="C17" s="129">
        <f>100000+7992+578550+4000+8000+100000+578550+174000</f>
        <v>1551092</v>
      </c>
      <c r="D17" s="133">
        <v>578000</v>
      </c>
      <c r="E17" s="130">
        <v>587125.21</v>
      </c>
      <c r="F17" s="129">
        <f t="shared" si="5"/>
        <v>385966.79000000004</v>
      </c>
      <c r="G17" s="129">
        <f>18000+214500+1440+4500+432+184400+18000</f>
        <v>441272</v>
      </c>
      <c r="H17" s="129"/>
      <c r="I17" s="130">
        <v>374138</v>
      </c>
      <c r="J17" s="129">
        <f t="shared" si="6"/>
        <v>67134</v>
      </c>
      <c r="K17" s="129">
        <f>55000+484000+55000+800500</f>
        <v>1394500</v>
      </c>
      <c r="L17" s="133"/>
      <c r="M17" s="130">
        <v>1034268.11</v>
      </c>
      <c r="N17" s="129">
        <f t="shared" si="7"/>
        <v>360231.89</v>
      </c>
      <c r="O17" s="134">
        <f t="shared" si="0"/>
        <v>3386864</v>
      </c>
      <c r="P17" s="134">
        <f t="shared" si="1"/>
        <v>578000</v>
      </c>
      <c r="Q17" s="134">
        <f t="shared" si="2"/>
        <v>1995531.3199999998</v>
      </c>
      <c r="R17" s="134">
        <f t="shared" si="4"/>
        <v>813332.68000000017</v>
      </c>
      <c r="S17" s="56">
        <f t="shared" si="3"/>
        <v>58.919735779175063</v>
      </c>
    </row>
    <row r="18" spans="1:19" s="70" customFormat="1" x14ac:dyDescent="0.55000000000000004">
      <c r="A18" s="57">
        <v>12</v>
      </c>
      <c r="B18" s="58" t="s">
        <v>16</v>
      </c>
      <c r="C18" s="129">
        <f>100000+5000+249000+5496+8474+6088+100000+249000+80800</f>
        <v>803858</v>
      </c>
      <c r="D18" s="133"/>
      <c r="E18" s="130">
        <v>483299.33</v>
      </c>
      <c r="F18" s="129">
        <f t="shared" ref="F18" si="8">SUM(C18-D18-E18)</f>
        <v>320558.67</v>
      </c>
      <c r="G18" s="129">
        <f>13500+150700+1410+4500+432+156241+13500</f>
        <v>340283</v>
      </c>
      <c r="H18" s="129"/>
      <c r="I18" s="130">
        <v>246831</v>
      </c>
      <c r="J18" s="129">
        <f t="shared" ref="J18" si="9">SUM(G18-H18-I18)</f>
        <v>93452</v>
      </c>
      <c r="K18" s="129">
        <f>33705+331000+33705+598000</f>
        <v>996410</v>
      </c>
      <c r="L18" s="133"/>
      <c r="M18" s="130">
        <v>705080.05</v>
      </c>
      <c r="N18" s="129">
        <f t="shared" ref="N18" si="10">SUM(K18-L18-M18)</f>
        <v>291329.94999999995</v>
      </c>
      <c r="O18" s="134">
        <f t="shared" ref="O18" si="11">SUM(C18+G18+K18)</f>
        <v>2140551</v>
      </c>
      <c r="P18" s="134">
        <f t="shared" ref="P18" si="12">SUM(D18+H18+L18)</f>
        <v>0</v>
      </c>
      <c r="Q18" s="134">
        <f t="shared" ref="Q18" si="13">SUM(E18+I18+M18)</f>
        <v>1435210.3800000001</v>
      </c>
      <c r="R18" s="134">
        <f t="shared" si="4"/>
        <v>705340.61999999988</v>
      </c>
      <c r="S18" s="56">
        <f t="shared" si="3"/>
        <v>67.048642148680415</v>
      </c>
    </row>
    <row r="19" spans="1:19" s="70" customFormat="1" x14ac:dyDescent="0.55000000000000004">
      <c r="A19" s="57">
        <v>13</v>
      </c>
      <c r="B19" s="58" t="s">
        <v>17</v>
      </c>
      <c r="C19" s="129">
        <f>100000+7260+244200+100000+249000</f>
        <v>700460</v>
      </c>
      <c r="D19" s="133"/>
      <c r="E19" s="130">
        <v>434493.8</v>
      </c>
      <c r="F19" s="129">
        <f t="shared" si="5"/>
        <v>265966.2</v>
      </c>
      <c r="G19" s="129">
        <f>22500+6000+2360+22500</f>
        <v>53360</v>
      </c>
      <c r="H19" s="129"/>
      <c r="I19" s="130">
        <v>33823</v>
      </c>
      <c r="J19" s="129">
        <f t="shared" si="6"/>
        <v>19537</v>
      </c>
      <c r="K19" s="129">
        <f>47610+302000+33705+586000+13915</f>
        <v>983230</v>
      </c>
      <c r="L19" s="133"/>
      <c r="M19" s="130">
        <v>558681.31000000006</v>
      </c>
      <c r="N19" s="129">
        <f t="shared" si="7"/>
        <v>424548.68999999994</v>
      </c>
      <c r="O19" s="134">
        <f t="shared" si="0"/>
        <v>1737050</v>
      </c>
      <c r="P19" s="134">
        <f t="shared" si="1"/>
        <v>0</v>
      </c>
      <c r="Q19" s="134">
        <f t="shared" si="2"/>
        <v>1026998.1100000001</v>
      </c>
      <c r="R19" s="134">
        <f t="shared" si="4"/>
        <v>710051.8899999999</v>
      </c>
      <c r="S19" s="56">
        <f t="shared" si="3"/>
        <v>59.123117354134891</v>
      </c>
    </row>
    <row r="20" spans="1:19" s="70" customFormat="1" x14ac:dyDescent="0.55000000000000004">
      <c r="A20" s="57">
        <v>14</v>
      </c>
      <c r="B20" s="58" t="s">
        <v>18</v>
      </c>
      <c r="C20" s="129">
        <f>100000+289800+95492+100000+289800</f>
        <v>875092</v>
      </c>
      <c r="D20" s="133">
        <v>289800</v>
      </c>
      <c r="E20" s="130">
        <v>105100</v>
      </c>
      <c r="F20" s="129">
        <f t="shared" si="5"/>
        <v>480192</v>
      </c>
      <c r="G20" s="129">
        <f>13500+93000+1440+104000+13500</f>
        <v>225440</v>
      </c>
      <c r="H20" s="129"/>
      <c r="I20" s="130">
        <v>102730</v>
      </c>
      <c r="J20" s="129">
        <f t="shared" si="6"/>
        <v>122710</v>
      </c>
      <c r="K20" s="129">
        <f>27606+326000+223951+763350+27606+382000</f>
        <v>1750513</v>
      </c>
      <c r="L20" s="133">
        <v>27606</v>
      </c>
      <c r="M20" s="130">
        <v>1500065.68</v>
      </c>
      <c r="N20" s="129">
        <f t="shared" si="7"/>
        <v>222841.32000000007</v>
      </c>
      <c r="O20" s="134">
        <f t="shared" si="0"/>
        <v>2851045</v>
      </c>
      <c r="P20" s="134">
        <f t="shared" si="1"/>
        <v>317406</v>
      </c>
      <c r="Q20" s="134">
        <f t="shared" si="2"/>
        <v>1707895.68</v>
      </c>
      <c r="R20" s="134">
        <f t="shared" si="4"/>
        <v>825743.32000000007</v>
      </c>
      <c r="S20" s="56">
        <f t="shared" si="3"/>
        <v>59.904199337435919</v>
      </c>
    </row>
    <row r="21" spans="1:19" s="70" customFormat="1" x14ac:dyDescent="0.55000000000000004">
      <c r="A21" s="57">
        <v>15</v>
      </c>
      <c r="B21" s="58" t="s">
        <v>19</v>
      </c>
      <c r="C21" s="129">
        <f>100000+16892+1349000+19750+100000+1348998</f>
        <v>2934640</v>
      </c>
      <c r="D21" s="133"/>
      <c r="E21" s="130">
        <v>1570053.6</v>
      </c>
      <c r="F21" s="129">
        <f t="shared" si="5"/>
        <v>1364586.4</v>
      </c>
      <c r="G21" s="129">
        <f>18000+62300+1440+3122+432+38000+92800+18000</f>
        <v>234094</v>
      </c>
      <c r="H21" s="129"/>
      <c r="I21" s="130">
        <v>172822</v>
      </c>
      <c r="J21" s="129">
        <f t="shared" si="6"/>
        <v>61272</v>
      </c>
      <c r="K21" s="129">
        <f>51360+499000+51360+650000</f>
        <v>1251720</v>
      </c>
      <c r="L21" s="133"/>
      <c r="M21" s="130">
        <v>898959.32</v>
      </c>
      <c r="N21" s="129">
        <f>SUM(K21-L21-M21)</f>
        <v>352760.68000000005</v>
      </c>
      <c r="O21" s="134">
        <f t="shared" si="0"/>
        <v>4420454</v>
      </c>
      <c r="P21" s="134">
        <f t="shared" si="1"/>
        <v>0</v>
      </c>
      <c r="Q21" s="134">
        <f t="shared" si="2"/>
        <v>2641834.92</v>
      </c>
      <c r="R21" s="134">
        <f t="shared" si="4"/>
        <v>1778619.08</v>
      </c>
      <c r="S21" s="56">
        <f t="shared" si="3"/>
        <v>59.763882171378775</v>
      </c>
    </row>
    <row r="22" spans="1:19" s="70" customFormat="1" x14ac:dyDescent="0.55000000000000004">
      <c r="A22" s="57">
        <v>16</v>
      </c>
      <c r="B22" s="58" t="s">
        <v>20</v>
      </c>
      <c r="C22" s="129">
        <f>100000+468500+100000+468500+65000</f>
        <v>1202000</v>
      </c>
      <c r="D22" s="133"/>
      <c r="E22" s="130">
        <v>628888.15</v>
      </c>
      <c r="F22" s="129">
        <f t="shared" si="5"/>
        <v>573111.85</v>
      </c>
      <c r="G22" s="129">
        <f>22500+179200+2340+179200+1204+22500</f>
        <v>406944</v>
      </c>
      <c r="H22" s="129"/>
      <c r="I22" s="130">
        <v>300044</v>
      </c>
      <c r="J22" s="129">
        <f t="shared" si="6"/>
        <v>106900</v>
      </c>
      <c r="K22" s="129">
        <f>10700+380000+10700+642800</f>
        <v>1044200</v>
      </c>
      <c r="L22" s="133"/>
      <c r="M22" s="130">
        <v>727723.52000000002</v>
      </c>
      <c r="N22" s="129">
        <f t="shared" si="7"/>
        <v>316476.48</v>
      </c>
      <c r="O22" s="134">
        <f t="shared" si="0"/>
        <v>2653144</v>
      </c>
      <c r="P22" s="134">
        <f t="shared" si="1"/>
        <v>0</v>
      </c>
      <c r="Q22" s="134">
        <f t="shared" si="2"/>
        <v>1656655.67</v>
      </c>
      <c r="R22" s="134">
        <f t="shared" si="4"/>
        <v>996488.33000000007</v>
      </c>
      <c r="S22" s="56">
        <f t="shared" si="3"/>
        <v>62.441227087561025</v>
      </c>
    </row>
    <row r="23" spans="1:19" s="70" customFormat="1" x14ac:dyDescent="0.55000000000000004">
      <c r="A23" s="57">
        <v>17</v>
      </c>
      <c r="B23" s="58" t="s">
        <v>21</v>
      </c>
      <c r="C23" s="129">
        <f>100000+925000+100000+925000</f>
        <v>2050000</v>
      </c>
      <c r="D23" s="133"/>
      <c r="E23" s="130">
        <v>1037850.36</v>
      </c>
      <c r="F23" s="129">
        <f t="shared" si="5"/>
        <v>1012149.64</v>
      </c>
      <c r="G23" s="129">
        <f>22500+257000+2400+181000+22500</f>
        <v>485400</v>
      </c>
      <c r="H23" s="129"/>
      <c r="I23" s="130">
        <v>358437</v>
      </c>
      <c r="J23" s="129">
        <f t="shared" si="6"/>
        <v>126963</v>
      </c>
      <c r="K23" s="129">
        <f>37450+666000+37450+1140600</f>
        <v>1881500</v>
      </c>
      <c r="L23" s="133"/>
      <c r="M23" s="130">
        <v>1396760.11</v>
      </c>
      <c r="N23" s="129">
        <f t="shared" si="7"/>
        <v>484739.8899999999</v>
      </c>
      <c r="O23" s="134">
        <f t="shared" si="0"/>
        <v>4416900</v>
      </c>
      <c r="P23" s="134">
        <f t="shared" si="1"/>
        <v>0</v>
      </c>
      <c r="Q23" s="134">
        <f t="shared" si="2"/>
        <v>2793047.4699999997</v>
      </c>
      <c r="R23" s="134">
        <f t="shared" si="4"/>
        <v>1623852.5300000003</v>
      </c>
      <c r="S23" s="56">
        <f t="shared" si="3"/>
        <v>63.235469899703411</v>
      </c>
    </row>
    <row r="24" spans="1:19" s="70" customFormat="1" x14ac:dyDescent="0.55000000000000004">
      <c r="A24" s="57">
        <v>18</v>
      </c>
      <c r="B24" s="58" t="s">
        <v>22</v>
      </c>
      <c r="C24" s="129">
        <f>100000+250000+17684+8620+100000+250000</f>
        <v>726304</v>
      </c>
      <c r="D24" s="133">
        <v>250000</v>
      </c>
      <c r="E24" s="130">
        <v>393221.47</v>
      </c>
      <c r="F24" s="129">
        <f t="shared" si="5"/>
        <v>83082.530000000028</v>
      </c>
      <c r="G24" s="129">
        <f>13500+132000+1410+9000+6030+288+140000+13500</f>
        <v>315728</v>
      </c>
      <c r="H24" s="129"/>
      <c r="I24" s="130">
        <v>223568</v>
      </c>
      <c r="J24" s="129">
        <f t="shared" si="6"/>
        <v>92160</v>
      </c>
      <c r="K24" s="129">
        <f>250000+120000+290000+300000+150000+637600</f>
        <v>1747600</v>
      </c>
      <c r="L24" s="133"/>
      <c r="M24" s="130">
        <v>1039739.07</v>
      </c>
      <c r="N24" s="129">
        <f t="shared" si="7"/>
        <v>707860.93</v>
      </c>
      <c r="O24" s="134">
        <f t="shared" si="0"/>
        <v>2789632</v>
      </c>
      <c r="P24" s="134">
        <f t="shared" si="1"/>
        <v>250000</v>
      </c>
      <c r="Q24" s="134">
        <f t="shared" si="2"/>
        <v>1656528.54</v>
      </c>
      <c r="R24" s="134">
        <f t="shared" si="4"/>
        <v>883103.46</v>
      </c>
      <c r="S24" s="56">
        <f t="shared" si="3"/>
        <v>59.381615209461323</v>
      </c>
    </row>
    <row r="25" spans="1:19" s="70" customFormat="1" x14ac:dyDescent="0.55000000000000004">
      <c r="A25" s="57">
        <v>19</v>
      </c>
      <c r="B25" s="58" t="s">
        <v>23</v>
      </c>
      <c r="C25" s="129">
        <f>100000+1000000+8148+100000+1051856+61311</f>
        <v>2321315</v>
      </c>
      <c r="D25" s="133"/>
      <c r="E25" s="130">
        <v>1085410.8700000001</v>
      </c>
      <c r="F25" s="129">
        <f t="shared" si="5"/>
        <v>1235904.1299999999</v>
      </c>
      <c r="G25" s="129">
        <f>27000+239660+2850+11040+225800+27346</f>
        <v>533696</v>
      </c>
      <c r="H25" s="129"/>
      <c r="I25" s="130">
        <v>391596</v>
      </c>
      <c r="J25" s="129">
        <f t="shared" si="6"/>
        <v>142100</v>
      </c>
      <c r="K25" s="129">
        <f>80892+544000+68480+80892+870000</f>
        <v>1644264</v>
      </c>
      <c r="L25" s="133"/>
      <c r="M25" s="130">
        <v>1034420.14</v>
      </c>
      <c r="N25" s="129">
        <f t="shared" si="7"/>
        <v>609843.86</v>
      </c>
      <c r="O25" s="134">
        <f t="shared" si="0"/>
        <v>4499275</v>
      </c>
      <c r="P25" s="134">
        <f t="shared" si="1"/>
        <v>0</v>
      </c>
      <c r="Q25" s="134">
        <f t="shared" si="2"/>
        <v>2511427.0100000002</v>
      </c>
      <c r="R25" s="134">
        <f t="shared" si="4"/>
        <v>1987847.9899999998</v>
      </c>
      <c r="S25" s="56">
        <f t="shared" si="3"/>
        <v>55.818482088780975</v>
      </c>
    </row>
    <row r="26" spans="1:19" s="70" customFormat="1" x14ac:dyDescent="0.55000000000000004">
      <c r="A26" s="57">
        <v>20</v>
      </c>
      <c r="B26" s="58" t="s">
        <v>24</v>
      </c>
      <c r="C26" s="129">
        <f>100000+247750+8632+100000+247750</f>
        <v>704132</v>
      </c>
      <c r="D26" s="133">
        <v>247750</v>
      </c>
      <c r="E26" s="130">
        <v>378107.85</v>
      </c>
      <c r="F26" s="129">
        <f t="shared" si="5"/>
        <v>78274.150000000023</v>
      </c>
      <c r="G26" s="129">
        <f>22500+160500+2360+110400+22500</f>
        <v>318260</v>
      </c>
      <c r="H26" s="129"/>
      <c r="I26" s="130">
        <v>242504</v>
      </c>
      <c r="J26" s="129">
        <f t="shared" si="6"/>
        <v>75756</v>
      </c>
      <c r="K26" s="129">
        <f>271000+456700</f>
        <v>727700</v>
      </c>
      <c r="L26" s="133"/>
      <c r="M26" s="130">
        <v>602696</v>
      </c>
      <c r="N26" s="129">
        <f t="shared" si="7"/>
        <v>125004</v>
      </c>
      <c r="O26" s="134">
        <f t="shared" si="0"/>
        <v>1750092</v>
      </c>
      <c r="P26" s="134">
        <f t="shared" si="1"/>
        <v>247750</v>
      </c>
      <c r="Q26" s="134">
        <f t="shared" si="2"/>
        <v>1223307.8500000001</v>
      </c>
      <c r="R26" s="134">
        <f t="shared" si="4"/>
        <v>279034.14999999991</v>
      </c>
      <c r="S26" s="56">
        <f t="shared" si="3"/>
        <v>69.899630990827916</v>
      </c>
    </row>
    <row r="27" spans="1:19" s="70" customFormat="1" x14ac:dyDescent="0.55000000000000004">
      <c r="A27" s="57">
        <v>21</v>
      </c>
      <c r="B27" s="58" t="s">
        <v>25</v>
      </c>
      <c r="C27" s="129">
        <f>100000+432000+100000+432000</f>
        <v>1064000</v>
      </c>
      <c r="D27" s="133">
        <v>360000</v>
      </c>
      <c r="E27" s="130">
        <v>642121.72</v>
      </c>
      <c r="F27" s="129">
        <f t="shared" si="5"/>
        <v>61878.280000000028</v>
      </c>
      <c r="G27" s="129">
        <f>22500+44000+1920+5372+251+44000+18000</f>
        <v>136043</v>
      </c>
      <c r="H27" s="129"/>
      <c r="I27" s="130">
        <v>99800</v>
      </c>
      <c r="J27" s="129">
        <f t="shared" si="6"/>
        <v>36243</v>
      </c>
      <c r="K27" s="129">
        <f>32100+399000+936464+32100+649400</f>
        <v>2049064</v>
      </c>
      <c r="L27" s="133">
        <v>32100</v>
      </c>
      <c r="M27" s="130">
        <v>816990.51</v>
      </c>
      <c r="N27" s="129">
        <f t="shared" si="7"/>
        <v>1199973.49</v>
      </c>
      <c r="O27" s="134">
        <f t="shared" si="0"/>
        <v>3249107</v>
      </c>
      <c r="P27" s="134">
        <f t="shared" si="1"/>
        <v>392100</v>
      </c>
      <c r="Q27" s="134">
        <f t="shared" si="2"/>
        <v>1558912.23</v>
      </c>
      <c r="R27" s="134">
        <f t="shared" si="4"/>
        <v>1298094.77</v>
      </c>
      <c r="S27" s="56">
        <f t="shared" si="3"/>
        <v>47.979713502817852</v>
      </c>
    </row>
    <row r="28" spans="1:19" s="70" customFormat="1" x14ac:dyDescent="0.55000000000000004">
      <c r="A28" s="57">
        <v>22</v>
      </c>
      <c r="B28" s="58" t="s">
        <v>26</v>
      </c>
      <c r="C28" s="129">
        <f>100000+675000+5000+100000+675000+3000</f>
        <v>1558000</v>
      </c>
      <c r="D28" s="133"/>
      <c r="E28" s="130">
        <v>802279</v>
      </c>
      <c r="F28" s="129">
        <f t="shared" si="5"/>
        <v>755721</v>
      </c>
      <c r="G28" s="129">
        <f>22500+280615+2390+13500+188900+22500</f>
        <v>530405</v>
      </c>
      <c r="H28" s="129"/>
      <c r="I28" s="130">
        <v>399465</v>
      </c>
      <c r="J28" s="129">
        <f t="shared" si="6"/>
        <v>130940</v>
      </c>
      <c r="K28" s="129">
        <f>66126+558000+66126+1067000</f>
        <v>1757252</v>
      </c>
      <c r="L28" s="133"/>
      <c r="M28" s="130">
        <v>1389680.14</v>
      </c>
      <c r="N28" s="129">
        <f t="shared" si="7"/>
        <v>367571.8600000001</v>
      </c>
      <c r="O28" s="134">
        <f t="shared" si="0"/>
        <v>3845657</v>
      </c>
      <c r="P28" s="134">
        <f t="shared" si="1"/>
        <v>0</v>
      </c>
      <c r="Q28" s="134">
        <f t="shared" si="2"/>
        <v>2591424.1399999997</v>
      </c>
      <c r="R28" s="134">
        <f t="shared" si="4"/>
        <v>1254232.8600000003</v>
      </c>
      <c r="S28" s="56">
        <f t="shared" si="3"/>
        <v>67.385732528928074</v>
      </c>
    </row>
    <row r="29" spans="1:19" s="70" customFormat="1" x14ac:dyDescent="0.55000000000000004">
      <c r="A29" s="57">
        <v>23</v>
      </c>
      <c r="B29" s="58" t="s">
        <v>27</v>
      </c>
      <c r="C29" s="129">
        <f>100000+22704+298200+100000+298200</f>
        <v>819104</v>
      </c>
      <c r="D29" s="133">
        <v>298200</v>
      </c>
      <c r="E29" s="130">
        <v>426953.03</v>
      </c>
      <c r="F29" s="129">
        <f t="shared" si="5"/>
        <v>93950.969999999972</v>
      </c>
      <c r="G29" s="129">
        <f>18000+24000+1920+24000+18000</f>
        <v>85920</v>
      </c>
      <c r="H29" s="129"/>
      <c r="I29" s="130">
        <v>64306</v>
      </c>
      <c r="J29" s="129">
        <f t="shared" si="6"/>
        <v>21614</v>
      </c>
      <c r="K29" s="129">
        <f>48018+590000+48018+483800</f>
        <v>1169836</v>
      </c>
      <c r="L29" s="133">
        <v>48018</v>
      </c>
      <c r="M29" s="130">
        <v>713450.31</v>
      </c>
      <c r="N29" s="129">
        <f t="shared" si="7"/>
        <v>408367.68999999994</v>
      </c>
      <c r="O29" s="134">
        <f t="shared" si="0"/>
        <v>2074860</v>
      </c>
      <c r="P29" s="134">
        <f t="shared" si="1"/>
        <v>346218</v>
      </c>
      <c r="Q29" s="134">
        <f t="shared" si="2"/>
        <v>1204709.3400000001</v>
      </c>
      <c r="R29" s="134">
        <f t="shared" si="4"/>
        <v>523932.65999999992</v>
      </c>
      <c r="S29" s="56">
        <f t="shared" si="3"/>
        <v>58.062198895347166</v>
      </c>
    </row>
    <row r="30" spans="1:19" s="70" customFormat="1" x14ac:dyDescent="0.55000000000000004">
      <c r="A30" s="57">
        <v>24</v>
      </c>
      <c r="B30" s="58" t="s">
        <v>28</v>
      </c>
      <c r="C30" s="129">
        <f>100000+32414+420852+100000+170018</f>
        <v>823284</v>
      </c>
      <c r="D30" s="133">
        <v>170018</v>
      </c>
      <c r="E30" s="130">
        <v>556684.36</v>
      </c>
      <c r="F30" s="129">
        <f t="shared" si="5"/>
        <v>96581.640000000014</v>
      </c>
      <c r="G30" s="129">
        <f>18000+348125+1890+16500+341100+18000</f>
        <v>743615</v>
      </c>
      <c r="H30" s="129"/>
      <c r="I30" s="130">
        <v>632640</v>
      </c>
      <c r="J30" s="129">
        <f t="shared" si="6"/>
        <v>110975</v>
      </c>
      <c r="K30" s="129">
        <f>29250+407000+63270+29250+562000+250834</f>
        <v>1341604</v>
      </c>
      <c r="L30" s="133">
        <v>250834</v>
      </c>
      <c r="M30" s="130">
        <v>698505.84</v>
      </c>
      <c r="N30" s="129">
        <f t="shared" si="7"/>
        <v>392264.16000000003</v>
      </c>
      <c r="O30" s="134">
        <f t="shared" si="0"/>
        <v>2908503</v>
      </c>
      <c r="P30" s="134">
        <f t="shared" si="1"/>
        <v>420852</v>
      </c>
      <c r="Q30" s="134">
        <f t="shared" si="2"/>
        <v>1887830.1999999997</v>
      </c>
      <c r="R30" s="134">
        <f t="shared" si="4"/>
        <v>599820.80000000028</v>
      </c>
      <c r="S30" s="56">
        <f t="shared" si="3"/>
        <v>64.907280480714633</v>
      </c>
    </row>
    <row r="31" spans="1:19" s="70" customFormat="1" x14ac:dyDescent="0.55000000000000004">
      <c r="A31" s="57">
        <v>25</v>
      </c>
      <c r="B31" s="58" t="s">
        <v>29</v>
      </c>
      <c r="C31" s="129">
        <f>100000+21924+697200+4500+100000+2804</f>
        <v>926428</v>
      </c>
      <c r="D31" s="133"/>
      <c r="E31" s="130">
        <v>854812</v>
      </c>
      <c r="F31" s="129">
        <f t="shared" si="5"/>
        <v>71616</v>
      </c>
      <c r="G31" s="129">
        <f>13500+216700+1440+3122+432+178800+18000</f>
        <v>431994</v>
      </c>
      <c r="H31" s="129"/>
      <c r="I31" s="130">
        <v>365534</v>
      </c>
      <c r="J31" s="129">
        <f t="shared" si="6"/>
        <v>66460</v>
      </c>
      <c r="K31" s="129">
        <f>33000+470000+843481+33000+673000+697200</f>
        <v>2749681</v>
      </c>
      <c r="L31" s="133">
        <v>730200</v>
      </c>
      <c r="M31" s="130">
        <v>1837066.42</v>
      </c>
      <c r="N31" s="129">
        <f t="shared" si="7"/>
        <v>182414.58000000007</v>
      </c>
      <c r="O31" s="134">
        <f t="shared" si="0"/>
        <v>4108103</v>
      </c>
      <c r="P31" s="134">
        <f t="shared" si="1"/>
        <v>730200</v>
      </c>
      <c r="Q31" s="134">
        <f t="shared" si="2"/>
        <v>3057412.42</v>
      </c>
      <c r="R31" s="134">
        <f t="shared" si="4"/>
        <v>320490.58000000007</v>
      </c>
      <c r="S31" s="56">
        <f t="shared" si="3"/>
        <v>74.423947500829456</v>
      </c>
    </row>
    <row r="32" spans="1:19" s="70" customFormat="1" x14ac:dyDescent="0.55000000000000004">
      <c r="A32" s="57">
        <v>26</v>
      </c>
      <c r="B32" s="58" t="s">
        <v>30</v>
      </c>
      <c r="C32" s="129">
        <f>100000+886440+10716+500000+100000+12952</f>
        <v>1610108</v>
      </c>
      <c r="D32" s="133"/>
      <c r="E32" s="130">
        <v>1584951.92</v>
      </c>
      <c r="F32" s="129">
        <f t="shared" si="5"/>
        <v>25156.080000000075</v>
      </c>
      <c r="G32" s="129">
        <f>13500+240450+1430+174050+13500</f>
        <v>442930</v>
      </c>
      <c r="H32" s="129"/>
      <c r="I32" s="130">
        <v>345459.52</v>
      </c>
      <c r="J32" s="129">
        <f t="shared" si="6"/>
        <v>97470.479999999981</v>
      </c>
      <c r="K32" s="129">
        <f>35000+718000+35000+834000+886440</f>
        <v>2508440</v>
      </c>
      <c r="L32" s="133"/>
      <c r="M32" s="130">
        <v>1387373.96</v>
      </c>
      <c r="N32" s="129">
        <f t="shared" si="7"/>
        <v>1121066.04</v>
      </c>
      <c r="O32" s="134">
        <f t="shared" si="0"/>
        <v>4561478</v>
      </c>
      <c r="P32" s="134">
        <f t="shared" si="1"/>
        <v>0</v>
      </c>
      <c r="Q32" s="134">
        <f t="shared" si="2"/>
        <v>3317785.4</v>
      </c>
      <c r="R32" s="134">
        <f t="shared" si="4"/>
        <v>1243692.6000000001</v>
      </c>
      <c r="S32" s="56">
        <f t="shared" si="3"/>
        <v>72.734876721974757</v>
      </c>
    </row>
    <row r="33" spans="1:19" s="70" customFormat="1" x14ac:dyDescent="0.55000000000000004">
      <c r="A33" s="57">
        <v>27</v>
      </c>
      <c r="B33" s="58" t="s">
        <v>31</v>
      </c>
      <c r="C33" s="129">
        <f>100000+650000+7956+100000</f>
        <v>857956</v>
      </c>
      <c r="D33" s="133"/>
      <c r="E33" s="130">
        <v>789346</v>
      </c>
      <c r="F33" s="129">
        <f t="shared" si="5"/>
        <v>68610</v>
      </c>
      <c r="G33" s="129">
        <f>18000+56500+1890+50000+80000+18000</f>
        <v>224390</v>
      </c>
      <c r="H33" s="129"/>
      <c r="I33" s="130">
        <v>177568</v>
      </c>
      <c r="J33" s="129">
        <f t="shared" si="6"/>
        <v>46822</v>
      </c>
      <c r="K33" s="129">
        <f>58208+120000+250000+527000+17700+250000+140000+58208+1018000+650000</f>
        <v>3089116</v>
      </c>
      <c r="L33" s="133">
        <v>682528</v>
      </c>
      <c r="M33" s="130">
        <v>1234004.8400000001</v>
      </c>
      <c r="N33" s="129">
        <f t="shared" si="7"/>
        <v>1172583.1599999999</v>
      </c>
      <c r="O33" s="134">
        <f t="shared" si="0"/>
        <v>4171462</v>
      </c>
      <c r="P33" s="134">
        <f t="shared" si="1"/>
        <v>682528</v>
      </c>
      <c r="Q33" s="134">
        <f t="shared" si="2"/>
        <v>2200918.84</v>
      </c>
      <c r="R33" s="134">
        <f t="shared" si="4"/>
        <v>1288015.1600000001</v>
      </c>
      <c r="S33" s="56">
        <f t="shared" si="3"/>
        <v>52.761330200299078</v>
      </c>
    </row>
    <row r="34" spans="1:19" s="70" customFormat="1" x14ac:dyDescent="0.55000000000000004">
      <c r="A34" s="57">
        <v>28</v>
      </c>
      <c r="B34" s="58" t="s">
        <v>32</v>
      </c>
      <c r="C34" s="129">
        <f>100000+716400+100000</f>
        <v>916400</v>
      </c>
      <c r="D34" s="133"/>
      <c r="E34" s="130">
        <v>916256.72</v>
      </c>
      <c r="F34" s="129">
        <f t="shared" si="5"/>
        <v>143.28000000002794</v>
      </c>
      <c r="G34" s="129">
        <f>31500+3300+28000+53830+31500</f>
        <v>148130</v>
      </c>
      <c r="H34" s="129"/>
      <c r="I34" s="130">
        <v>97290</v>
      </c>
      <c r="J34" s="129">
        <f t="shared" si="6"/>
        <v>50840</v>
      </c>
      <c r="K34" s="129">
        <f>40125+120000+250000+630000+280000+180000+40125+1008000+716400</f>
        <v>3264650</v>
      </c>
      <c r="L34" s="133"/>
      <c r="M34" s="130">
        <v>817665.48</v>
      </c>
      <c r="N34" s="129">
        <f t="shared" si="7"/>
        <v>2446984.52</v>
      </c>
      <c r="O34" s="134">
        <f t="shared" si="0"/>
        <v>4329180</v>
      </c>
      <c r="P34" s="134">
        <f t="shared" si="1"/>
        <v>0</v>
      </c>
      <c r="Q34" s="134">
        <f t="shared" si="2"/>
        <v>1831212.2</v>
      </c>
      <c r="R34" s="134">
        <f t="shared" si="4"/>
        <v>2497967.7999999998</v>
      </c>
      <c r="S34" s="56">
        <f t="shared" si="3"/>
        <v>42.299285315001917</v>
      </c>
    </row>
    <row r="35" spans="1:19" s="70" customFormat="1" x14ac:dyDescent="0.55000000000000004">
      <c r="A35" s="57">
        <v>29</v>
      </c>
      <c r="B35" s="58" t="s">
        <v>33</v>
      </c>
      <c r="C35" s="129">
        <f>100000+495600+7376+100000</f>
        <v>702976</v>
      </c>
      <c r="D35" s="133"/>
      <c r="E35" s="130">
        <v>660046</v>
      </c>
      <c r="F35" s="129">
        <f t="shared" si="5"/>
        <v>42930</v>
      </c>
      <c r="G35" s="129">
        <f>18000+124500+1920+116800+18000</f>
        <v>279220</v>
      </c>
      <c r="H35" s="129"/>
      <c r="I35" s="130">
        <v>200699</v>
      </c>
      <c r="J35" s="129">
        <f t="shared" si="6"/>
        <v>78521</v>
      </c>
      <c r="K35" s="129">
        <f>46200+279000+46200+379600+495600</f>
        <v>1246600</v>
      </c>
      <c r="L35" s="133"/>
      <c r="M35" s="130">
        <v>527991.48</v>
      </c>
      <c r="N35" s="129">
        <f t="shared" si="7"/>
        <v>718608.52</v>
      </c>
      <c r="O35" s="134">
        <f t="shared" si="0"/>
        <v>2228796</v>
      </c>
      <c r="P35" s="134">
        <f t="shared" si="1"/>
        <v>0</v>
      </c>
      <c r="Q35" s="134">
        <f t="shared" si="2"/>
        <v>1388736.48</v>
      </c>
      <c r="R35" s="134">
        <f t="shared" si="4"/>
        <v>840059.52</v>
      </c>
      <c r="S35" s="56">
        <f t="shared" si="3"/>
        <v>62.30881964971222</v>
      </c>
    </row>
    <row r="36" spans="1:19" s="70" customFormat="1" x14ac:dyDescent="0.55000000000000004">
      <c r="A36" s="57">
        <v>30</v>
      </c>
      <c r="B36" s="58" t="s">
        <v>34</v>
      </c>
      <c r="C36" s="129">
        <f>100000+732600+6000+100000+10760</f>
        <v>949360</v>
      </c>
      <c r="D36" s="133"/>
      <c r="E36" s="130">
        <v>878246.7</v>
      </c>
      <c r="F36" s="129">
        <f t="shared" si="5"/>
        <v>71113.300000000047</v>
      </c>
      <c r="G36" s="129">
        <f>18000+20000+1920+20000+18000</f>
        <v>77920</v>
      </c>
      <c r="H36" s="129"/>
      <c r="I36" s="130">
        <v>52310</v>
      </c>
      <c r="J36" s="129">
        <f t="shared" si="6"/>
        <v>25610</v>
      </c>
      <c r="K36" s="129">
        <f>52450+682000+1041538+52450+1102400+732600</f>
        <v>3663438</v>
      </c>
      <c r="L36" s="133"/>
      <c r="M36" s="130">
        <v>647839.38</v>
      </c>
      <c r="N36" s="129">
        <f t="shared" si="7"/>
        <v>3015598.62</v>
      </c>
      <c r="O36" s="134">
        <f t="shared" si="0"/>
        <v>4690718</v>
      </c>
      <c r="P36" s="134">
        <f t="shared" si="1"/>
        <v>0</v>
      </c>
      <c r="Q36" s="134">
        <f t="shared" si="2"/>
        <v>1578396.08</v>
      </c>
      <c r="R36" s="134">
        <f t="shared" si="4"/>
        <v>3112321.92</v>
      </c>
      <c r="S36" s="56">
        <f t="shared" si="3"/>
        <v>33.649349204109051</v>
      </c>
    </row>
    <row r="37" spans="1:19" s="70" customFormat="1" x14ac:dyDescent="0.55000000000000004">
      <c r="A37" s="57">
        <v>31</v>
      </c>
      <c r="B37" s="58" t="s">
        <v>35</v>
      </c>
      <c r="C37" s="129">
        <f>100000+7544+525000+64632+100000</f>
        <v>797176</v>
      </c>
      <c r="D37" s="133"/>
      <c r="E37" s="130">
        <v>694512.14</v>
      </c>
      <c r="F37" s="129">
        <f t="shared" si="5"/>
        <v>102663.85999999999</v>
      </c>
      <c r="G37" s="129">
        <f>18000+16000+1900+16000+18000</f>
        <v>69900</v>
      </c>
      <c r="H37" s="129"/>
      <c r="I37" s="130">
        <v>46268</v>
      </c>
      <c r="J37" s="129">
        <f t="shared" si="6"/>
        <v>23632</v>
      </c>
      <c r="K37" s="129">
        <f>42400+365000+11350+265020+53750+530900+790020+37620</f>
        <v>2096060</v>
      </c>
      <c r="L37" s="133"/>
      <c r="M37" s="130">
        <v>984880.7</v>
      </c>
      <c r="N37" s="129">
        <f t="shared" si="7"/>
        <v>1111179.3</v>
      </c>
      <c r="O37" s="134">
        <f t="shared" si="0"/>
        <v>2963136</v>
      </c>
      <c r="P37" s="134">
        <f t="shared" si="1"/>
        <v>0</v>
      </c>
      <c r="Q37" s="134">
        <f t="shared" si="2"/>
        <v>1725660.8399999999</v>
      </c>
      <c r="R37" s="134">
        <f t="shared" si="4"/>
        <v>1237475.1600000001</v>
      </c>
      <c r="S37" s="56">
        <f t="shared" si="3"/>
        <v>58.237652271107365</v>
      </c>
    </row>
    <row r="38" spans="1:19" s="70" customFormat="1" x14ac:dyDescent="0.55000000000000004">
      <c r="A38" s="57">
        <v>32</v>
      </c>
      <c r="B38" s="58" t="s">
        <v>36</v>
      </c>
      <c r="C38" s="129">
        <f>100000+349890+100000</f>
        <v>549890</v>
      </c>
      <c r="D38" s="133"/>
      <c r="E38" s="130">
        <v>515425.04</v>
      </c>
      <c r="F38" s="129">
        <f t="shared" si="5"/>
        <v>34464.960000000021</v>
      </c>
      <c r="G38" s="129">
        <f>18000+28500+1910+7500+18000</f>
        <v>73910</v>
      </c>
      <c r="H38" s="129"/>
      <c r="I38" s="130">
        <v>49440</v>
      </c>
      <c r="J38" s="129">
        <f t="shared" si="6"/>
        <v>24470</v>
      </c>
      <c r="K38" s="129">
        <f>38000+492000+715000+349890</f>
        <v>1594890</v>
      </c>
      <c r="L38" s="133">
        <v>378390</v>
      </c>
      <c r="M38" s="130">
        <v>414964.47</v>
      </c>
      <c r="N38" s="129">
        <f t="shared" si="7"/>
        <v>801535.53</v>
      </c>
      <c r="O38" s="134">
        <f t="shared" ref="O38:O69" si="14">SUM(C38+G38+K38)</f>
        <v>2218690</v>
      </c>
      <c r="P38" s="134">
        <f t="shared" ref="P38:P69" si="15">SUM(D38+H38+L38)</f>
        <v>378390</v>
      </c>
      <c r="Q38" s="134">
        <f t="shared" ref="Q38:Q69" si="16">SUM(E38+I38+M38)</f>
        <v>979829.51</v>
      </c>
      <c r="R38" s="134">
        <f t="shared" si="4"/>
        <v>860470.49</v>
      </c>
      <c r="S38" s="56">
        <f t="shared" ref="S38:S69" si="17">SUM(Q38*100/O38)</f>
        <v>44.162524282346787</v>
      </c>
    </row>
    <row r="39" spans="1:19" s="70" customFormat="1" x14ac:dyDescent="0.55000000000000004">
      <c r="A39" s="57">
        <v>33</v>
      </c>
      <c r="B39" s="58" t="s">
        <v>37</v>
      </c>
      <c r="C39" s="129">
        <f>100000+799990+7172+20602+100000</f>
        <v>1027764</v>
      </c>
      <c r="D39" s="133"/>
      <c r="E39" s="130">
        <v>945107.2</v>
      </c>
      <c r="F39" s="129">
        <f t="shared" si="5"/>
        <v>82656.800000000047</v>
      </c>
      <c r="G39" s="129">
        <f>13500+41500+1410+4744+864+28000+22500</f>
        <v>112518</v>
      </c>
      <c r="H39" s="129"/>
      <c r="I39" s="130">
        <v>76500</v>
      </c>
      <c r="J39" s="129">
        <f t="shared" si="6"/>
        <v>36018</v>
      </c>
      <c r="K39" s="129">
        <f>100313+727000+100313+1011000+849990</f>
        <v>2788616</v>
      </c>
      <c r="L39" s="133"/>
      <c r="M39" s="130">
        <v>927391.91</v>
      </c>
      <c r="N39" s="129">
        <f t="shared" si="7"/>
        <v>1861224.0899999999</v>
      </c>
      <c r="O39" s="134">
        <f t="shared" si="14"/>
        <v>3928898</v>
      </c>
      <c r="P39" s="134">
        <f t="shared" si="15"/>
        <v>0</v>
      </c>
      <c r="Q39" s="134">
        <f t="shared" si="16"/>
        <v>1948999.1099999999</v>
      </c>
      <c r="R39" s="134">
        <f t="shared" si="4"/>
        <v>1979898.8900000001</v>
      </c>
      <c r="S39" s="56">
        <f t="shared" si="17"/>
        <v>49.606762761466449</v>
      </c>
    </row>
    <row r="40" spans="1:19" s="70" customFormat="1" x14ac:dyDescent="0.55000000000000004">
      <c r="A40" s="57">
        <v>34</v>
      </c>
      <c r="B40" s="58" t="s">
        <v>38</v>
      </c>
      <c r="C40" s="129">
        <f>100000+492000+43656+11027+100000+20600</f>
        <v>767283</v>
      </c>
      <c r="D40" s="133"/>
      <c r="E40" s="130">
        <v>688329.16</v>
      </c>
      <c r="F40" s="129">
        <f t="shared" si="5"/>
        <v>78953.839999999967</v>
      </c>
      <c r="G40" s="129">
        <f>18000+40000+1920+18000+94000+18000</f>
        <v>189920</v>
      </c>
      <c r="H40" s="129"/>
      <c r="I40" s="130">
        <v>135840</v>
      </c>
      <c r="J40" s="129">
        <f t="shared" si="6"/>
        <v>54080</v>
      </c>
      <c r="K40" s="129">
        <f>21400+304000+21400+359000+492000</f>
        <v>1197800</v>
      </c>
      <c r="L40" s="133"/>
      <c r="M40" s="130">
        <v>555827.30000000005</v>
      </c>
      <c r="N40" s="129">
        <f t="shared" si="7"/>
        <v>641972.69999999995</v>
      </c>
      <c r="O40" s="134">
        <f t="shared" si="14"/>
        <v>2155003</v>
      </c>
      <c r="P40" s="134">
        <f t="shared" si="15"/>
        <v>0</v>
      </c>
      <c r="Q40" s="134">
        <f t="shared" si="16"/>
        <v>1379996.46</v>
      </c>
      <c r="R40" s="134">
        <f t="shared" si="4"/>
        <v>775006.54</v>
      </c>
      <c r="S40" s="56">
        <f t="shared" si="17"/>
        <v>64.036869554241918</v>
      </c>
    </row>
    <row r="41" spans="1:19" s="70" customFormat="1" x14ac:dyDescent="0.55000000000000004">
      <c r="A41" s="57">
        <v>35</v>
      </c>
      <c r="B41" s="58" t="s">
        <v>39</v>
      </c>
      <c r="C41" s="129">
        <f>100000+850000+100000+40010</f>
        <v>1090010</v>
      </c>
      <c r="D41" s="133"/>
      <c r="E41" s="130">
        <v>1089256</v>
      </c>
      <c r="F41" s="129">
        <f t="shared" si="5"/>
        <v>754</v>
      </c>
      <c r="G41" s="129">
        <f>18000+96000+2350+4500-5250+72000+22500</f>
        <v>210100</v>
      </c>
      <c r="H41" s="129"/>
      <c r="I41" s="130">
        <v>152997</v>
      </c>
      <c r="J41" s="129">
        <f t="shared" si="6"/>
        <v>57103</v>
      </c>
      <c r="K41" s="129">
        <f>26750+516000+26750+524000+850000</f>
        <v>1943500</v>
      </c>
      <c r="L41" s="133">
        <v>26750</v>
      </c>
      <c r="M41" s="130">
        <v>789611.16</v>
      </c>
      <c r="N41" s="129">
        <f t="shared" si="7"/>
        <v>1127138.8399999999</v>
      </c>
      <c r="O41" s="134">
        <f t="shared" si="14"/>
        <v>3243610</v>
      </c>
      <c r="P41" s="134">
        <f t="shared" si="15"/>
        <v>26750</v>
      </c>
      <c r="Q41" s="134">
        <f t="shared" si="16"/>
        <v>2031864.1600000001</v>
      </c>
      <c r="R41" s="134">
        <f t="shared" si="4"/>
        <v>1184995.8399999999</v>
      </c>
      <c r="S41" s="56">
        <f t="shared" si="17"/>
        <v>62.642061160250464</v>
      </c>
    </row>
    <row r="42" spans="1:19" s="70" customFormat="1" x14ac:dyDescent="0.55000000000000004">
      <c r="A42" s="57">
        <v>36</v>
      </c>
      <c r="B42" s="58" t="s">
        <v>40</v>
      </c>
      <c r="C42" s="129">
        <f>100000+525000+34218+100000</f>
        <v>759218</v>
      </c>
      <c r="D42" s="133"/>
      <c r="E42" s="130">
        <v>723704.07</v>
      </c>
      <c r="F42" s="129">
        <f t="shared" si="5"/>
        <v>35513.930000000051</v>
      </c>
      <c r="G42" s="129">
        <f>27000+201500+2830+10000+4186+432+139200+31500</f>
        <v>416648</v>
      </c>
      <c r="H42" s="129"/>
      <c r="I42" s="130">
        <v>350448</v>
      </c>
      <c r="J42" s="129">
        <f t="shared" si="6"/>
        <v>66200</v>
      </c>
      <c r="K42" s="129">
        <f>42400+399000+42400+1081000+525000</f>
        <v>2089800</v>
      </c>
      <c r="L42" s="133"/>
      <c r="M42" s="130">
        <v>863316.66</v>
      </c>
      <c r="N42" s="129">
        <f t="shared" si="7"/>
        <v>1226483.3399999999</v>
      </c>
      <c r="O42" s="134">
        <f t="shared" si="14"/>
        <v>3265666</v>
      </c>
      <c r="P42" s="134">
        <f t="shared" si="15"/>
        <v>0</v>
      </c>
      <c r="Q42" s="134">
        <f t="shared" si="16"/>
        <v>1937468.73</v>
      </c>
      <c r="R42" s="134">
        <f t="shared" si="4"/>
        <v>1328197.27</v>
      </c>
      <c r="S42" s="56">
        <f t="shared" si="17"/>
        <v>59.328441120433013</v>
      </c>
    </row>
    <row r="43" spans="1:19" s="70" customFormat="1" x14ac:dyDescent="0.55000000000000004">
      <c r="A43" s="57">
        <v>37</v>
      </c>
      <c r="B43" s="58" t="s">
        <v>41</v>
      </c>
      <c r="C43" s="129">
        <f>100000+121460+6060+100000</f>
        <v>327520</v>
      </c>
      <c r="D43" s="133"/>
      <c r="E43" s="130">
        <v>267414.51</v>
      </c>
      <c r="F43" s="129">
        <f t="shared" si="5"/>
        <v>60105.489999999991</v>
      </c>
      <c r="G43" s="129">
        <f>18000+327020+2340+4500+80000+5372+251+349200+22500</f>
        <v>809183</v>
      </c>
      <c r="H43" s="129"/>
      <c r="I43" s="130">
        <v>605998</v>
      </c>
      <c r="J43" s="129">
        <f t="shared" si="6"/>
        <v>203185</v>
      </c>
      <c r="K43" s="129">
        <f>1525196+33978+120000+250000+1063000+350000+180000+33978+1474700+1643520</f>
        <v>6674372</v>
      </c>
      <c r="L43" s="133">
        <v>33978</v>
      </c>
      <c r="M43" s="130">
        <v>3820091.45</v>
      </c>
      <c r="N43" s="129">
        <f t="shared" si="7"/>
        <v>2820302.55</v>
      </c>
      <c r="O43" s="134">
        <f t="shared" si="14"/>
        <v>7811075</v>
      </c>
      <c r="P43" s="134">
        <f t="shared" si="15"/>
        <v>33978</v>
      </c>
      <c r="Q43" s="134">
        <f t="shared" si="16"/>
        <v>4693503.96</v>
      </c>
      <c r="R43" s="134">
        <f t="shared" si="4"/>
        <v>3083593.04</v>
      </c>
      <c r="S43" s="56">
        <f t="shared" si="17"/>
        <v>60.087810704672535</v>
      </c>
    </row>
    <row r="44" spans="1:19" s="70" customFormat="1" x14ac:dyDescent="0.55000000000000004">
      <c r="A44" s="57">
        <v>38</v>
      </c>
      <c r="B44" s="58" t="s">
        <v>42</v>
      </c>
      <c r="C44" s="129">
        <f>100000+21712+100000</f>
        <v>221712</v>
      </c>
      <c r="D44" s="133"/>
      <c r="E44" s="130">
        <v>172365.31</v>
      </c>
      <c r="F44" s="129">
        <f t="shared" si="5"/>
        <v>49346.69</v>
      </c>
      <c r="G44" s="129">
        <f>22500+225920+2400+165180+22500</f>
        <v>438500</v>
      </c>
      <c r="H44" s="129"/>
      <c r="I44" s="130">
        <v>365900</v>
      </c>
      <c r="J44" s="129">
        <f t="shared" si="6"/>
        <v>72600</v>
      </c>
      <c r="K44" s="129">
        <f>293400+236000+46800+314400+293400</f>
        <v>1184000</v>
      </c>
      <c r="L44" s="133">
        <v>293400</v>
      </c>
      <c r="M44" s="130">
        <v>721566.86</v>
      </c>
      <c r="N44" s="129">
        <f t="shared" si="7"/>
        <v>169033.14</v>
      </c>
      <c r="O44" s="134">
        <f t="shared" si="14"/>
        <v>1844212</v>
      </c>
      <c r="P44" s="134">
        <f t="shared" si="15"/>
        <v>293400</v>
      </c>
      <c r="Q44" s="134">
        <f t="shared" si="16"/>
        <v>1259832.17</v>
      </c>
      <c r="R44" s="134">
        <f t="shared" si="4"/>
        <v>290979.83000000007</v>
      </c>
      <c r="S44" s="56">
        <f t="shared" si="17"/>
        <v>68.312762849390424</v>
      </c>
    </row>
    <row r="45" spans="1:19" s="70" customFormat="1" x14ac:dyDescent="0.55000000000000004">
      <c r="A45" s="57">
        <v>39</v>
      </c>
      <c r="B45" s="58" t="s">
        <v>43</v>
      </c>
      <c r="C45" s="129">
        <f>100000+59530+100000</f>
        <v>259530</v>
      </c>
      <c r="D45" s="133"/>
      <c r="E45" s="130">
        <v>185899.49</v>
      </c>
      <c r="F45" s="129">
        <f t="shared" si="5"/>
        <v>73630.510000000009</v>
      </c>
      <c r="G45" s="129">
        <f>22500+268500+2390+432+4070+27000+281000+27372</f>
        <v>633264</v>
      </c>
      <c r="H45" s="129"/>
      <c r="I45" s="130">
        <v>527882</v>
      </c>
      <c r="J45" s="129">
        <f t="shared" si="6"/>
        <v>105382</v>
      </c>
      <c r="K45" s="129">
        <f>24000+517099+462000+24000+614600+519000</f>
        <v>2160699</v>
      </c>
      <c r="L45" s="133">
        <v>543000</v>
      </c>
      <c r="M45" s="130">
        <v>1424187.14</v>
      </c>
      <c r="N45" s="129">
        <f t="shared" si="7"/>
        <v>193511.8600000001</v>
      </c>
      <c r="O45" s="134">
        <f t="shared" si="14"/>
        <v>3053493</v>
      </c>
      <c r="P45" s="134">
        <f t="shared" si="15"/>
        <v>543000</v>
      </c>
      <c r="Q45" s="134">
        <f t="shared" si="16"/>
        <v>2137968.63</v>
      </c>
      <c r="R45" s="134">
        <f t="shared" si="4"/>
        <v>372524.37000000011</v>
      </c>
      <c r="S45" s="56">
        <f t="shared" si="17"/>
        <v>70.017145282468306</v>
      </c>
    </row>
    <row r="46" spans="1:19" s="70" customFormat="1" x14ac:dyDescent="0.55000000000000004">
      <c r="A46" s="57">
        <v>40</v>
      </c>
      <c r="B46" s="58" t="s">
        <v>44</v>
      </c>
      <c r="C46" s="129">
        <f>100000+100000</f>
        <v>200000</v>
      </c>
      <c r="D46" s="133"/>
      <c r="E46" s="130">
        <v>83286</v>
      </c>
      <c r="F46" s="129">
        <f t="shared" si="5"/>
        <v>116714</v>
      </c>
      <c r="G46" s="129">
        <f>22500+2380+22500</f>
        <v>47380</v>
      </c>
      <c r="H46" s="129"/>
      <c r="I46" s="130">
        <v>27102</v>
      </c>
      <c r="J46" s="129">
        <f t="shared" si="6"/>
        <v>20278</v>
      </c>
      <c r="K46" s="129">
        <f>30000+481086+301000+70000+100313+504200+481086-70313</f>
        <v>1897372</v>
      </c>
      <c r="L46" s="133">
        <v>511086</v>
      </c>
      <c r="M46" s="130">
        <v>1167408.25</v>
      </c>
      <c r="N46" s="129">
        <f t="shared" si="7"/>
        <v>218877.75</v>
      </c>
      <c r="O46" s="134">
        <f t="shared" si="14"/>
        <v>2144752</v>
      </c>
      <c r="P46" s="134">
        <f t="shared" si="15"/>
        <v>511086</v>
      </c>
      <c r="Q46" s="134">
        <f t="shared" si="16"/>
        <v>1277796.25</v>
      </c>
      <c r="R46" s="134">
        <f t="shared" si="4"/>
        <v>355869.75</v>
      </c>
      <c r="S46" s="56">
        <f t="shared" si="17"/>
        <v>59.577808996098383</v>
      </c>
    </row>
    <row r="47" spans="1:19" s="70" customFormat="1" x14ac:dyDescent="0.55000000000000004">
      <c r="A47" s="57">
        <v>41</v>
      </c>
      <c r="B47" s="58" t="s">
        <v>45</v>
      </c>
      <c r="C47" s="129">
        <f>100000+14250+11040+9000+100000+15332</f>
        <v>249622</v>
      </c>
      <c r="D47" s="133">
        <v>22034</v>
      </c>
      <c r="E47" s="130">
        <v>142818</v>
      </c>
      <c r="F47" s="129">
        <f t="shared" si="5"/>
        <v>84770</v>
      </c>
      <c r="G47" s="129">
        <f>13500+306000+960+236300+9000</f>
        <v>565760</v>
      </c>
      <c r="H47" s="129"/>
      <c r="I47" s="130">
        <v>493300</v>
      </c>
      <c r="J47" s="129">
        <f t="shared" si="6"/>
        <v>72460</v>
      </c>
      <c r="K47" s="129">
        <f>29425+534280+243000+21400+397000+534280+4337</f>
        <v>1763722</v>
      </c>
      <c r="L47" s="133"/>
      <c r="M47" s="130">
        <v>865437.39</v>
      </c>
      <c r="N47" s="129">
        <f t="shared" si="7"/>
        <v>898284.61</v>
      </c>
      <c r="O47" s="134">
        <f t="shared" si="14"/>
        <v>2579104</v>
      </c>
      <c r="P47" s="134">
        <f t="shared" si="15"/>
        <v>22034</v>
      </c>
      <c r="Q47" s="134">
        <f t="shared" si="16"/>
        <v>1501555.3900000001</v>
      </c>
      <c r="R47" s="134">
        <f t="shared" si="4"/>
        <v>1055514.6099999999</v>
      </c>
      <c r="S47" s="56">
        <f t="shared" si="17"/>
        <v>58.220040370609325</v>
      </c>
    </row>
    <row r="48" spans="1:19" s="70" customFormat="1" x14ac:dyDescent="0.55000000000000004">
      <c r="A48" s="57">
        <v>42</v>
      </c>
      <c r="B48" s="58" t="s">
        <v>46</v>
      </c>
      <c r="C48" s="129">
        <f>100000+6472+100000</f>
        <v>206472</v>
      </c>
      <c r="D48" s="133"/>
      <c r="E48" s="130">
        <v>90702</v>
      </c>
      <c r="F48" s="129">
        <f t="shared" si="5"/>
        <v>115770</v>
      </c>
      <c r="G48" s="129">
        <f>18000+310000+1860+191095+18000+832</f>
        <v>539787</v>
      </c>
      <c r="H48" s="129"/>
      <c r="I48" s="130">
        <v>465034.92</v>
      </c>
      <c r="J48" s="129">
        <f t="shared" si="6"/>
        <v>74752.080000000016</v>
      </c>
      <c r="K48" s="129">
        <f>64200+480000+488000+26750+854000+480000+37450</f>
        <v>2430400</v>
      </c>
      <c r="L48" s="133">
        <v>608400</v>
      </c>
      <c r="M48" s="130">
        <v>1618062.34</v>
      </c>
      <c r="N48" s="129">
        <f t="shared" si="7"/>
        <v>203937.65999999992</v>
      </c>
      <c r="O48" s="134">
        <f t="shared" si="14"/>
        <v>3176659</v>
      </c>
      <c r="P48" s="134">
        <f t="shared" si="15"/>
        <v>608400</v>
      </c>
      <c r="Q48" s="134">
        <f t="shared" si="16"/>
        <v>2173799.2599999998</v>
      </c>
      <c r="R48" s="134">
        <f t="shared" si="4"/>
        <v>394459.74000000022</v>
      </c>
      <c r="S48" s="56">
        <f t="shared" si="17"/>
        <v>68.430362213885715</v>
      </c>
    </row>
    <row r="49" spans="1:19" s="70" customFormat="1" x14ac:dyDescent="0.55000000000000004">
      <c r="A49" s="57">
        <v>43</v>
      </c>
      <c r="B49" s="58" t="s">
        <v>47</v>
      </c>
      <c r="C49" s="129">
        <f>100000+100000</f>
        <v>200000</v>
      </c>
      <c r="D49" s="133"/>
      <c r="E49" s="130">
        <v>169772</v>
      </c>
      <c r="F49" s="129">
        <f t="shared" si="5"/>
        <v>30228</v>
      </c>
      <c r="G49" s="129">
        <f>22500+132700+2360+76300+22500</f>
        <v>256360</v>
      </c>
      <c r="H49" s="129"/>
      <c r="I49" s="130">
        <v>214323</v>
      </c>
      <c r="J49" s="129">
        <f t="shared" si="6"/>
        <v>42037</v>
      </c>
      <c r="K49" s="129">
        <f>20328+470560+443000+42400+648000+470560-22072</f>
        <v>2072776</v>
      </c>
      <c r="L49" s="133">
        <v>490888</v>
      </c>
      <c r="M49" s="130">
        <v>1286110.68</v>
      </c>
      <c r="N49" s="129">
        <f t="shared" si="7"/>
        <v>295777.32000000007</v>
      </c>
      <c r="O49" s="134">
        <f t="shared" si="14"/>
        <v>2529136</v>
      </c>
      <c r="P49" s="134">
        <f t="shared" si="15"/>
        <v>490888</v>
      </c>
      <c r="Q49" s="134">
        <f t="shared" si="16"/>
        <v>1670205.68</v>
      </c>
      <c r="R49" s="134">
        <f t="shared" si="4"/>
        <v>368042.32000000007</v>
      </c>
      <c r="S49" s="56">
        <f t="shared" si="17"/>
        <v>66.038587090611188</v>
      </c>
    </row>
    <row r="50" spans="1:19" s="70" customFormat="1" x14ac:dyDescent="0.55000000000000004">
      <c r="A50" s="57">
        <v>44</v>
      </c>
      <c r="B50" s="58" t="s">
        <v>48</v>
      </c>
      <c r="C50" s="129">
        <f>100000+15000+100000+15618</f>
        <v>230618</v>
      </c>
      <c r="D50" s="133"/>
      <c r="E50" s="130">
        <v>150910</v>
      </c>
      <c r="F50" s="129">
        <f t="shared" si="5"/>
        <v>79708</v>
      </c>
      <c r="G50" s="129">
        <f>18000+397160+1910+24010+360087+18000</f>
        <v>819167</v>
      </c>
      <c r="H50" s="129"/>
      <c r="I50" s="130">
        <v>707458.67</v>
      </c>
      <c r="J50" s="129">
        <f t="shared" si="6"/>
        <v>111708.32999999996</v>
      </c>
      <c r="K50" s="129">
        <f>47080+714000+446000+47080+628600+714000</f>
        <v>2596760</v>
      </c>
      <c r="L50" s="133">
        <v>761000</v>
      </c>
      <c r="M50" s="130">
        <v>1198068.99</v>
      </c>
      <c r="N50" s="129">
        <f t="shared" si="7"/>
        <v>637691.01</v>
      </c>
      <c r="O50" s="134">
        <f t="shared" si="14"/>
        <v>3646545</v>
      </c>
      <c r="P50" s="134">
        <f t="shared" si="15"/>
        <v>761000</v>
      </c>
      <c r="Q50" s="134">
        <f t="shared" si="16"/>
        <v>2056437.6600000001</v>
      </c>
      <c r="R50" s="134">
        <f t="shared" si="4"/>
        <v>829107.33999999985</v>
      </c>
      <c r="S50" s="56">
        <f t="shared" si="17"/>
        <v>56.394139109760062</v>
      </c>
    </row>
    <row r="51" spans="1:19" s="70" customFormat="1" x14ac:dyDescent="0.55000000000000004">
      <c r="A51" s="57">
        <v>45</v>
      </c>
      <c r="B51" s="58" t="s">
        <v>49</v>
      </c>
      <c r="C51" s="129">
        <f>100000+37942+45160+100000+17517</f>
        <v>300619</v>
      </c>
      <c r="D51" s="133"/>
      <c r="E51" s="130">
        <v>189036</v>
      </c>
      <c r="F51" s="129">
        <f t="shared" si="5"/>
        <v>111583</v>
      </c>
      <c r="G51" s="129">
        <f>18000+51400+2280+4500+27000+22500</f>
        <v>125680</v>
      </c>
      <c r="H51" s="129"/>
      <c r="I51" s="130">
        <v>87307</v>
      </c>
      <c r="J51" s="129">
        <f t="shared" si="6"/>
        <v>38373</v>
      </c>
      <c r="K51" s="129">
        <f>30000+414540+225000+64000+30000+273500+414540+7440</f>
        <v>1459020</v>
      </c>
      <c r="L51" s="133">
        <v>451980</v>
      </c>
      <c r="M51" s="130">
        <v>846122.69</v>
      </c>
      <c r="N51" s="129">
        <f t="shared" si="7"/>
        <v>160917.31000000006</v>
      </c>
      <c r="O51" s="134">
        <f t="shared" si="14"/>
        <v>1885319</v>
      </c>
      <c r="P51" s="134">
        <f t="shared" si="15"/>
        <v>451980</v>
      </c>
      <c r="Q51" s="134">
        <f t="shared" si="16"/>
        <v>1122465.69</v>
      </c>
      <c r="R51" s="134">
        <f t="shared" si="4"/>
        <v>310873.31000000006</v>
      </c>
      <c r="S51" s="56">
        <f t="shared" si="17"/>
        <v>59.537175936804331</v>
      </c>
    </row>
    <row r="52" spans="1:19" s="70" customFormat="1" x14ac:dyDescent="0.55000000000000004">
      <c r="A52" s="57">
        <v>46</v>
      </c>
      <c r="B52" s="58" t="s">
        <v>50</v>
      </c>
      <c r="C52" s="129">
        <f>100000+100000</f>
        <v>200000</v>
      </c>
      <c r="D52" s="133"/>
      <c r="E52" s="130">
        <v>144469.29</v>
      </c>
      <c r="F52" s="129">
        <f t="shared" si="5"/>
        <v>55530.709999999992</v>
      </c>
      <c r="G52" s="129">
        <f>13500+161420+1880+4500+57880+186400+18000</f>
        <v>443580</v>
      </c>
      <c r="H52" s="129"/>
      <c r="I52" s="130">
        <v>356238</v>
      </c>
      <c r="J52" s="129">
        <f t="shared" si="6"/>
        <v>87342</v>
      </c>
      <c r="K52" s="129">
        <f>19260+425000+120000+250000+361000+309900+180000+19260+662000+425000</f>
        <v>2771420</v>
      </c>
      <c r="L52" s="133"/>
      <c r="M52" s="130">
        <v>1004220.88</v>
      </c>
      <c r="N52" s="129">
        <f t="shared" si="7"/>
        <v>1767199.12</v>
      </c>
      <c r="O52" s="134">
        <f t="shared" si="14"/>
        <v>3415000</v>
      </c>
      <c r="P52" s="134">
        <f t="shared" si="15"/>
        <v>0</v>
      </c>
      <c r="Q52" s="134">
        <f t="shared" si="16"/>
        <v>1504928.17</v>
      </c>
      <c r="R52" s="134">
        <f t="shared" si="4"/>
        <v>1910071.83</v>
      </c>
      <c r="S52" s="56">
        <f t="shared" si="17"/>
        <v>44.068174816983891</v>
      </c>
    </row>
    <row r="53" spans="1:19" s="70" customFormat="1" x14ac:dyDescent="0.55000000000000004">
      <c r="A53" s="57">
        <v>47</v>
      </c>
      <c r="B53" s="58" t="s">
        <v>51</v>
      </c>
      <c r="C53" s="129">
        <f>100000+24080+10262+100000</f>
        <v>234342</v>
      </c>
      <c r="D53" s="133"/>
      <c r="E53" s="130">
        <v>175287.69</v>
      </c>
      <c r="F53" s="129">
        <f t="shared" si="5"/>
        <v>59054.31</v>
      </c>
      <c r="G53" s="129">
        <f>9000+86250+960+63750+9000</f>
        <v>168960</v>
      </c>
      <c r="H53" s="129"/>
      <c r="I53" s="130">
        <v>142560</v>
      </c>
      <c r="J53" s="129">
        <f t="shared" si="6"/>
        <v>26400</v>
      </c>
      <c r="K53" s="129">
        <f>29960+434400+248000+29960+381000+434400</f>
        <v>1557720</v>
      </c>
      <c r="L53" s="133">
        <v>464359.98</v>
      </c>
      <c r="M53" s="130">
        <v>995131.08</v>
      </c>
      <c r="N53" s="129">
        <f t="shared" si="7"/>
        <v>98228.940000000061</v>
      </c>
      <c r="O53" s="134">
        <f t="shared" si="14"/>
        <v>1961022</v>
      </c>
      <c r="P53" s="134">
        <f t="shared" si="15"/>
        <v>464359.98</v>
      </c>
      <c r="Q53" s="134">
        <f t="shared" si="16"/>
        <v>1312978.77</v>
      </c>
      <c r="R53" s="134">
        <f t="shared" si="4"/>
        <v>183683.25</v>
      </c>
      <c r="S53" s="56">
        <f t="shared" si="17"/>
        <v>66.953801130226992</v>
      </c>
    </row>
    <row r="54" spans="1:19" s="70" customFormat="1" x14ac:dyDescent="0.55000000000000004">
      <c r="A54" s="57">
        <v>48</v>
      </c>
      <c r="B54" s="58" t="s">
        <v>52</v>
      </c>
      <c r="C54" s="129">
        <f>100000+100000</f>
        <v>200000</v>
      </c>
      <c r="D54" s="133"/>
      <c r="E54" s="130">
        <v>87691</v>
      </c>
      <c r="F54" s="129">
        <f t="shared" si="5"/>
        <v>112309</v>
      </c>
      <c r="G54" s="129">
        <f>22500+186740+2320+163260+22500</f>
        <v>397320</v>
      </c>
      <c r="H54" s="129"/>
      <c r="I54" s="130">
        <v>335462</v>
      </c>
      <c r="J54" s="129">
        <f t="shared" si="6"/>
        <v>61858</v>
      </c>
      <c r="K54" s="129">
        <f>48000+988038+522000+48000+872000+988038</f>
        <v>3466076</v>
      </c>
      <c r="L54" s="133">
        <v>1036038</v>
      </c>
      <c r="M54" s="130">
        <v>2132911.7799999998</v>
      </c>
      <c r="N54" s="129">
        <f t="shared" si="7"/>
        <v>297126.2200000002</v>
      </c>
      <c r="O54" s="134">
        <f t="shared" si="14"/>
        <v>4063396</v>
      </c>
      <c r="P54" s="134">
        <f t="shared" si="15"/>
        <v>1036038</v>
      </c>
      <c r="Q54" s="134">
        <f t="shared" si="16"/>
        <v>2556064.7799999998</v>
      </c>
      <c r="R54" s="134">
        <f t="shared" si="4"/>
        <v>471293.2200000002</v>
      </c>
      <c r="S54" s="56">
        <f t="shared" si="17"/>
        <v>62.904643800407335</v>
      </c>
    </row>
    <row r="55" spans="1:19" s="70" customFormat="1" x14ac:dyDescent="0.55000000000000004">
      <c r="A55" s="57">
        <v>49</v>
      </c>
      <c r="B55" s="58" t="s">
        <v>53</v>
      </c>
      <c r="C55" s="129">
        <f>100000+100000</f>
        <v>200000</v>
      </c>
      <c r="D55" s="133"/>
      <c r="E55" s="130">
        <v>95093.75</v>
      </c>
      <c r="F55" s="129">
        <f t="shared" si="5"/>
        <v>104906.25</v>
      </c>
      <c r="G55" s="129">
        <f>18000+420000+1910+336500+18000</f>
        <v>794410</v>
      </c>
      <c r="H55" s="129"/>
      <c r="I55" s="130">
        <v>694493</v>
      </c>
      <c r="J55" s="129">
        <f t="shared" si="6"/>
        <v>99917</v>
      </c>
      <c r="K55" s="129">
        <f>54780+524220+330000+54780+658000+524220+198582</f>
        <v>2344582</v>
      </c>
      <c r="L55" s="133"/>
      <c r="M55" s="130">
        <v>1155023.49</v>
      </c>
      <c r="N55" s="129">
        <f t="shared" si="7"/>
        <v>1189558.51</v>
      </c>
      <c r="O55" s="134">
        <f t="shared" si="14"/>
        <v>3338992</v>
      </c>
      <c r="P55" s="134">
        <f t="shared" si="15"/>
        <v>0</v>
      </c>
      <c r="Q55" s="134">
        <f t="shared" si="16"/>
        <v>1944610.24</v>
      </c>
      <c r="R55" s="134">
        <f t="shared" si="4"/>
        <v>1394381.76</v>
      </c>
      <c r="S55" s="56">
        <f t="shared" si="17"/>
        <v>58.2394399267803</v>
      </c>
    </row>
    <row r="56" spans="1:19" s="70" customFormat="1" x14ac:dyDescent="0.55000000000000004">
      <c r="A56" s="57">
        <v>50</v>
      </c>
      <c r="B56" s="58" t="s">
        <v>54</v>
      </c>
      <c r="C56" s="129">
        <f>100000+100000</f>
        <v>200000</v>
      </c>
      <c r="D56" s="133"/>
      <c r="E56" s="130">
        <v>101230</v>
      </c>
      <c r="F56" s="129">
        <f t="shared" si="5"/>
        <v>98770</v>
      </c>
      <c r="G56" s="129">
        <f>18000+254000+1920+1300+201600+18000</f>
        <v>494820</v>
      </c>
      <c r="H56" s="129"/>
      <c r="I56" s="130">
        <v>428220</v>
      </c>
      <c r="J56" s="129">
        <f t="shared" si="6"/>
        <v>66600</v>
      </c>
      <c r="K56" s="129">
        <f>31030+801600+355000+31030+562000+801600</f>
        <v>2582260</v>
      </c>
      <c r="L56" s="133"/>
      <c r="M56" s="130">
        <v>1540415.78</v>
      </c>
      <c r="N56" s="129">
        <f t="shared" si="7"/>
        <v>1041844.22</v>
      </c>
      <c r="O56" s="134">
        <f t="shared" si="14"/>
        <v>3277080</v>
      </c>
      <c r="P56" s="134">
        <f t="shared" si="15"/>
        <v>0</v>
      </c>
      <c r="Q56" s="134">
        <f t="shared" si="16"/>
        <v>2069865.78</v>
      </c>
      <c r="R56" s="134">
        <f t="shared" si="4"/>
        <v>1207214.22</v>
      </c>
      <c r="S56" s="56">
        <f t="shared" si="17"/>
        <v>63.161893514958436</v>
      </c>
    </row>
    <row r="57" spans="1:19" s="70" customFormat="1" x14ac:dyDescent="0.55000000000000004">
      <c r="A57" s="57">
        <v>51</v>
      </c>
      <c r="B57" s="58" t="s">
        <v>55</v>
      </c>
      <c r="C57" s="129">
        <f>100000+100000</f>
        <v>200000</v>
      </c>
      <c r="D57" s="133"/>
      <c r="E57" s="130">
        <v>151964.5</v>
      </c>
      <c r="F57" s="129">
        <f t="shared" si="5"/>
        <v>48035.5</v>
      </c>
      <c r="G57" s="129">
        <f>18000+48000+1890+6600+48000+18000</f>
        <v>140490</v>
      </c>
      <c r="H57" s="129"/>
      <c r="I57" s="130">
        <v>96640</v>
      </c>
      <c r="J57" s="129">
        <f t="shared" si="6"/>
        <v>43850</v>
      </c>
      <c r="K57" s="129">
        <f>36000+595728+120000+250000+442000+70000+135000+36000+827600+595728</f>
        <v>3108056</v>
      </c>
      <c r="L57" s="133">
        <v>8550</v>
      </c>
      <c r="M57" s="130">
        <v>1890330.86</v>
      </c>
      <c r="N57" s="129">
        <f t="shared" si="7"/>
        <v>1209175.1399999999</v>
      </c>
      <c r="O57" s="134">
        <f t="shared" si="14"/>
        <v>3448546</v>
      </c>
      <c r="P57" s="134">
        <f t="shared" si="15"/>
        <v>8550</v>
      </c>
      <c r="Q57" s="134">
        <f t="shared" si="16"/>
        <v>2138935.3600000003</v>
      </c>
      <c r="R57" s="134">
        <f t="shared" si="4"/>
        <v>1301060.6399999997</v>
      </c>
      <c r="S57" s="56">
        <f t="shared" si="17"/>
        <v>62.024266458965613</v>
      </c>
    </row>
    <row r="58" spans="1:19" s="70" customFormat="1" x14ac:dyDescent="0.55000000000000004">
      <c r="A58" s="57">
        <v>52</v>
      </c>
      <c r="B58" s="58" t="s">
        <v>56</v>
      </c>
      <c r="C58" s="129">
        <f>100000+6287+100000</f>
        <v>206287</v>
      </c>
      <c r="D58" s="133">
        <v>24000</v>
      </c>
      <c r="E58" s="130">
        <v>81903</v>
      </c>
      <c r="F58" s="129">
        <f t="shared" si="5"/>
        <v>100384</v>
      </c>
      <c r="G58" s="129">
        <f>9000+950+9000</f>
        <v>18950</v>
      </c>
      <c r="H58" s="129"/>
      <c r="I58" s="130">
        <v>11133</v>
      </c>
      <c r="J58" s="129">
        <f t="shared" si="6"/>
        <v>7817</v>
      </c>
      <c r="K58" s="129">
        <f>42500+999600+446000+42500+637000+1002859</f>
        <v>3170459</v>
      </c>
      <c r="L58" s="133">
        <v>1045358.75</v>
      </c>
      <c r="M58" s="130">
        <v>1881758.59</v>
      </c>
      <c r="N58" s="129">
        <f t="shared" si="7"/>
        <v>243341.65999999992</v>
      </c>
      <c r="O58" s="134">
        <f t="shared" si="14"/>
        <v>3395696</v>
      </c>
      <c r="P58" s="134">
        <f t="shared" si="15"/>
        <v>1069358.75</v>
      </c>
      <c r="Q58" s="134">
        <f t="shared" si="16"/>
        <v>1974794.59</v>
      </c>
      <c r="R58" s="134">
        <f t="shared" si="4"/>
        <v>351542.65999999992</v>
      </c>
      <c r="S58" s="56">
        <f t="shared" si="17"/>
        <v>58.155812239964945</v>
      </c>
    </row>
    <row r="59" spans="1:19" s="70" customFormat="1" x14ac:dyDescent="0.55000000000000004">
      <c r="A59" s="57">
        <v>53</v>
      </c>
      <c r="B59" s="58" t="s">
        <v>57</v>
      </c>
      <c r="C59" s="129">
        <f>100000+100000</f>
        <v>200000</v>
      </c>
      <c r="D59" s="133"/>
      <c r="E59" s="130">
        <v>102549.01</v>
      </c>
      <c r="F59" s="129">
        <f t="shared" si="5"/>
        <v>97450.99</v>
      </c>
      <c r="G59" s="129">
        <f>18000+310000+1440+4500+432+279742+18000</f>
        <v>632114</v>
      </c>
      <c r="H59" s="129"/>
      <c r="I59" s="130">
        <v>518358.94</v>
      </c>
      <c r="J59" s="129">
        <f t="shared" si="6"/>
        <v>113755.06</v>
      </c>
      <c r="K59" s="129">
        <f>29960+1127100+544000+29960+614000+1127100</f>
        <v>3472120</v>
      </c>
      <c r="L59" s="133"/>
      <c r="M59" s="130">
        <v>2194525.5099999998</v>
      </c>
      <c r="N59" s="129">
        <f t="shared" si="7"/>
        <v>1277594.4900000002</v>
      </c>
      <c r="O59" s="134">
        <f t="shared" si="14"/>
        <v>4304234</v>
      </c>
      <c r="P59" s="134">
        <f t="shared" si="15"/>
        <v>0</v>
      </c>
      <c r="Q59" s="134">
        <f t="shared" si="16"/>
        <v>2815433.46</v>
      </c>
      <c r="R59" s="134">
        <f t="shared" si="4"/>
        <v>1488800.54</v>
      </c>
      <c r="S59" s="56">
        <f t="shared" si="17"/>
        <v>65.410789933818648</v>
      </c>
    </row>
    <row r="60" spans="1:19" s="70" customFormat="1" x14ac:dyDescent="0.55000000000000004">
      <c r="A60" s="57">
        <v>54</v>
      </c>
      <c r="B60" s="58" t="s">
        <v>58</v>
      </c>
      <c r="C60" s="129">
        <f>100000+100000</f>
        <v>200000</v>
      </c>
      <c r="D60" s="133"/>
      <c r="E60" s="130">
        <v>115353.08</v>
      </c>
      <c r="F60" s="129">
        <f t="shared" si="5"/>
        <v>84646.92</v>
      </c>
      <c r="G60" s="129">
        <f>27000+44000+2840+27000</f>
        <v>100840</v>
      </c>
      <c r="H60" s="129"/>
      <c r="I60" s="130">
        <v>60352</v>
      </c>
      <c r="J60" s="129">
        <f t="shared" si="6"/>
        <v>40488</v>
      </c>
      <c r="K60" s="129">
        <f>524397+390000+269426+940000+524394+3+33060</f>
        <v>2681280</v>
      </c>
      <c r="L60" s="133">
        <v>222112.5</v>
      </c>
      <c r="M60" s="130">
        <v>1531678.39</v>
      </c>
      <c r="N60" s="129">
        <f t="shared" si="7"/>
        <v>927489.1100000001</v>
      </c>
      <c r="O60" s="134">
        <f t="shared" si="14"/>
        <v>2982120</v>
      </c>
      <c r="P60" s="134">
        <f t="shared" si="15"/>
        <v>222112.5</v>
      </c>
      <c r="Q60" s="134">
        <f t="shared" si="16"/>
        <v>1707383.47</v>
      </c>
      <c r="R60" s="134">
        <f t="shared" si="4"/>
        <v>1052624.03</v>
      </c>
      <c r="S60" s="56">
        <f t="shared" si="17"/>
        <v>57.254016270304348</v>
      </c>
    </row>
    <row r="61" spans="1:19" s="70" customFormat="1" x14ac:dyDescent="0.55000000000000004">
      <c r="A61" s="57">
        <v>55</v>
      </c>
      <c r="B61" s="58" t="s">
        <v>59</v>
      </c>
      <c r="C61" s="129">
        <f>100000+21040+100000+13916+116395</f>
        <v>351351</v>
      </c>
      <c r="D61" s="133"/>
      <c r="E61" s="130">
        <v>147468</v>
      </c>
      <c r="F61" s="129">
        <f t="shared" si="5"/>
        <v>203883</v>
      </c>
      <c r="G61" s="129">
        <f>27000+145000+2870+158800+27000</f>
        <v>360670</v>
      </c>
      <c r="H61" s="129"/>
      <c r="I61" s="130">
        <v>261052</v>
      </c>
      <c r="J61" s="129">
        <f t="shared" si="6"/>
        <v>99618</v>
      </c>
      <c r="K61" s="129">
        <f>12840+562484+375000+82200+12840+577000+562484+15644</f>
        <v>2200492</v>
      </c>
      <c r="L61" s="133">
        <v>2140</v>
      </c>
      <c r="M61" s="130">
        <v>1272340.44</v>
      </c>
      <c r="N61" s="129">
        <f t="shared" si="7"/>
        <v>926011.56</v>
      </c>
      <c r="O61" s="134">
        <f t="shared" si="14"/>
        <v>2912513</v>
      </c>
      <c r="P61" s="134">
        <f t="shared" si="15"/>
        <v>2140</v>
      </c>
      <c r="Q61" s="134">
        <f t="shared" si="16"/>
        <v>1680860.44</v>
      </c>
      <c r="R61" s="134">
        <f t="shared" si="4"/>
        <v>1229512.56</v>
      </c>
      <c r="S61" s="56">
        <f t="shared" si="17"/>
        <v>57.711688840530499</v>
      </c>
    </row>
    <row r="62" spans="1:19" s="70" customFormat="1" x14ac:dyDescent="0.55000000000000004">
      <c r="A62" s="57">
        <v>56</v>
      </c>
      <c r="B62" s="58" t="s">
        <v>60</v>
      </c>
      <c r="C62" s="129">
        <f>100000+2500+100000+26001+13968</f>
        <v>242469</v>
      </c>
      <c r="D62" s="133"/>
      <c r="E62" s="130">
        <v>84625.95</v>
      </c>
      <c r="F62" s="129">
        <f t="shared" si="5"/>
        <v>157843.04999999999</v>
      </c>
      <c r="G62" s="129">
        <f>18000+215300+1880+142400+18000</f>
        <v>395580</v>
      </c>
      <c r="H62" s="129"/>
      <c r="I62" s="130">
        <v>268240</v>
      </c>
      <c r="J62" s="129">
        <f t="shared" si="6"/>
        <v>127340</v>
      </c>
      <c r="K62" s="129">
        <f>33000+1008000+665000+492089+33000+1208000+1008000</f>
        <v>4447089</v>
      </c>
      <c r="L62" s="133">
        <v>1074000</v>
      </c>
      <c r="M62" s="130">
        <v>2335334.33</v>
      </c>
      <c r="N62" s="129">
        <f t="shared" si="7"/>
        <v>1037754.6699999999</v>
      </c>
      <c r="O62" s="134">
        <f t="shared" si="14"/>
        <v>5085138</v>
      </c>
      <c r="P62" s="134">
        <f t="shared" si="15"/>
        <v>1074000</v>
      </c>
      <c r="Q62" s="134">
        <f t="shared" si="16"/>
        <v>2688200.2800000003</v>
      </c>
      <c r="R62" s="134">
        <f t="shared" si="4"/>
        <v>1322937.7199999997</v>
      </c>
      <c r="S62" s="56">
        <f t="shared" si="17"/>
        <v>52.863860921768492</v>
      </c>
    </row>
    <row r="63" spans="1:19" s="70" customFormat="1" x14ac:dyDescent="0.55000000000000004">
      <c r="A63" s="57">
        <v>57</v>
      </c>
      <c r="B63" s="58" t="s">
        <v>61</v>
      </c>
      <c r="C63" s="129">
        <f>100000+100000</f>
        <v>200000</v>
      </c>
      <c r="D63" s="133"/>
      <c r="E63" s="130">
        <v>123089</v>
      </c>
      <c r="F63" s="129">
        <f t="shared" si="5"/>
        <v>76911</v>
      </c>
      <c r="G63" s="129">
        <f>22500+58000+2390+28000+54000+22500</f>
        <v>187390</v>
      </c>
      <c r="H63" s="129"/>
      <c r="I63" s="130">
        <v>155178</v>
      </c>
      <c r="J63" s="129">
        <f t="shared" si="6"/>
        <v>32212</v>
      </c>
      <c r="K63" s="129">
        <f>12840+120000+250000+393000+647864+200000+140000+12840+772200+647864</f>
        <v>3196608</v>
      </c>
      <c r="L63" s="133">
        <v>12840</v>
      </c>
      <c r="M63" s="130">
        <v>1934470.59</v>
      </c>
      <c r="N63" s="129">
        <f t="shared" si="7"/>
        <v>1249297.4099999999</v>
      </c>
      <c r="O63" s="134">
        <f t="shared" si="14"/>
        <v>3583998</v>
      </c>
      <c r="P63" s="134">
        <f t="shared" si="15"/>
        <v>12840</v>
      </c>
      <c r="Q63" s="134">
        <f t="shared" si="16"/>
        <v>2212737.59</v>
      </c>
      <c r="R63" s="134">
        <f t="shared" si="4"/>
        <v>1358420.4100000001</v>
      </c>
      <c r="S63" s="56">
        <f t="shared" si="17"/>
        <v>61.739364530895386</v>
      </c>
    </row>
    <row r="64" spans="1:19" s="70" customFormat="1" x14ac:dyDescent="0.55000000000000004">
      <c r="A64" s="57">
        <v>58</v>
      </c>
      <c r="B64" s="58" t="s">
        <v>62</v>
      </c>
      <c r="C64" s="129">
        <f>100000+100000</f>
        <v>200000</v>
      </c>
      <c r="D64" s="133"/>
      <c r="E64" s="130">
        <v>107744.69</v>
      </c>
      <c r="F64" s="129">
        <f t="shared" si="5"/>
        <v>92255.31</v>
      </c>
      <c r="G64" s="129">
        <f>18000+91000+1890+68000+18000</f>
        <v>196890</v>
      </c>
      <c r="H64" s="129"/>
      <c r="I64" s="130">
        <v>146658</v>
      </c>
      <c r="J64" s="129">
        <f t="shared" si="6"/>
        <v>50232</v>
      </c>
      <c r="K64" s="129">
        <f>21400+344400+449000+46224+21400+713600+344400</f>
        <v>1940424</v>
      </c>
      <c r="L64" s="133"/>
      <c r="M64" s="130">
        <v>1308891.8799999999</v>
      </c>
      <c r="N64" s="129">
        <f t="shared" si="7"/>
        <v>631532.12000000011</v>
      </c>
      <c r="O64" s="134">
        <f t="shared" si="14"/>
        <v>2337314</v>
      </c>
      <c r="P64" s="134">
        <f t="shared" si="15"/>
        <v>0</v>
      </c>
      <c r="Q64" s="134">
        <f t="shared" si="16"/>
        <v>1563294.5699999998</v>
      </c>
      <c r="R64" s="134">
        <f t="shared" si="4"/>
        <v>774019.43000000017</v>
      </c>
      <c r="S64" s="56">
        <f t="shared" si="17"/>
        <v>66.884234210722212</v>
      </c>
    </row>
    <row r="65" spans="1:19" s="70" customFormat="1" x14ac:dyDescent="0.55000000000000004">
      <c r="A65" s="57">
        <v>59</v>
      </c>
      <c r="B65" s="58" t="s">
        <v>63</v>
      </c>
      <c r="C65" s="129">
        <f>100000+45888+100000+66000+15100</f>
        <v>326988</v>
      </c>
      <c r="D65" s="133"/>
      <c r="E65" s="130">
        <v>245479.5</v>
      </c>
      <c r="F65" s="129">
        <f t="shared" si="5"/>
        <v>81508.5</v>
      </c>
      <c r="G65" s="129">
        <f>22500+211344+2400+52595+22500</f>
        <v>311339</v>
      </c>
      <c r="H65" s="129"/>
      <c r="I65" s="130">
        <v>283618</v>
      </c>
      <c r="J65" s="129">
        <f t="shared" si="6"/>
        <v>27721</v>
      </c>
      <c r="K65" s="129">
        <f>26750+280200+267000+26750+500000+280200</f>
        <v>1380900</v>
      </c>
      <c r="L65" s="133">
        <v>60075</v>
      </c>
      <c r="M65" s="130">
        <v>530457.72</v>
      </c>
      <c r="N65" s="129">
        <f t="shared" si="7"/>
        <v>790367.28</v>
      </c>
      <c r="O65" s="134">
        <f t="shared" si="14"/>
        <v>2019227</v>
      </c>
      <c r="P65" s="134">
        <f t="shared" si="15"/>
        <v>60075</v>
      </c>
      <c r="Q65" s="134">
        <f t="shared" si="16"/>
        <v>1059555.22</v>
      </c>
      <c r="R65" s="134">
        <f t="shared" si="4"/>
        <v>899596.78</v>
      </c>
      <c r="S65" s="56">
        <f t="shared" si="17"/>
        <v>52.473308845414607</v>
      </c>
    </row>
    <row r="66" spans="1:19" s="70" customFormat="1" x14ac:dyDescent="0.55000000000000004">
      <c r="A66" s="57">
        <v>60</v>
      </c>
      <c r="B66" s="58" t="s">
        <v>64</v>
      </c>
      <c r="C66" s="129">
        <f>100000+5320+100000</f>
        <v>205320</v>
      </c>
      <c r="D66" s="133"/>
      <c r="E66" s="130">
        <v>168550.73</v>
      </c>
      <c r="F66" s="129">
        <f t="shared" si="5"/>
        <v>36769.26999999999</v>
      </c>
      <c r="G66" s="129">
        <f>22500+152000+2380+24000+189500+22500</f>
        <v>412880</v>
      </c>
      <c r="H66" s="129"/>
      <c r="I66" s="130">
        <v>301572</v>
      </c>
      <c r="J66" s="129">
        <f t="shared" si="6"/>
        <v>111308</v>
      </c>
      <c r="K66" s="129">
        <f>300000+174000+407000+300000</f>
        <v>1181000</v>
      </c>
      <c r="L66" s="133"/>
      <c r="M66" s="130">
        <v>790519.79</v>
      </c>
      <c r="N66" s="129">
        <f t="shared" si="7"/>
        <v>390480.20999999996</v>
      </c>
      <c r="O66" s="134">
        <f t="shared" si="14"/>
        <v>1799200</v>
      </c>
      <c r="P66" s="134">
        <f t="shared" si="15"/>
        <v>0</v>
      </c>
      <c r="Q66" s="134">
        <f t="shared" si="16"/>
        <v>1260642.52</v>
      </c>
      <c r="R66" s="134">
        <f t="shared" si="4"/>
        <v>538557.48</v>
      </c>
      <c r="S66" s="56">
        <f t="shared" si="17"/>
        <v>70.066836371720768</v>
      </c>
    </row>
    <row r="67" spans="1:19" s="70" customFormat="1" x14ac:dyDescent="0.55000000000000004">
      <c r="A67" s="57">
        <v>61</v>
      </c>
      <c r="B67" s="58" t="s">
        <v>65</v>
      </c>
      <c r="C67" s="129">
        <f>100000+27000+100000</f>
        <v>227000</v>
      </c>
      <c r="D67" s="133"/>
      <c r="E67" s="130">
        <v>170954.78</v>
      </c>
      <c r="F67" s="129">
        <f t="shared" si="5"/>
        <v>56045.22</v>
      </c>
      <c r="G67" s="129">
        <f>22500+100920+2370+88080+22500</f>
        <v>236370</v>
      </c>
      <c r="H67" s="129"/>
      <c r="I67" s="130">
        <v>195856</v>
      </c>
      <c r="J67" s="129">
        <f t="shared" si="6"/>
        <v>40514</v>
      </c>
      <c r="K67" s="129">
        <f>27734+450000+382000+27734+845200+450000</f>
        <v>2182668</v>
      </c>
      <c r="L67" s="133">
        <v>450000</v>
      </c>
      <c r="M67" s="130">
        <v>1379453.16</v>
      </c>
      <c r="N67" s="129">
        <f t="shared" si="7"/>
        <v>353214.84000000008</v>
      </c>
      <c r="O67" s="134">
        <f t="shared" si="14"/>
        <v>2646038</v>
      </c>
      <c r="P67" s="134">
        <f t="shared" si="15"/>
        <v>450000</v>
      </c>
      <c r="Q67" s="134">
        <f t="shared" si="16"/>
        <v>1746263.94</v>
      </c>
      <c r="R67" s="134">
        <f t="shared" si="4"/>
        <v>449774.06000000006</v>
      </c>
      <c r="S67" s="56">
        <f t="shared" si="17"/>
        <v>65.995421834455897</v>
      </c>
    </row>
    <row r="68" spans="1:19" s="70" customFormat="1" x14ac:dyDescent="0.55000000000000004">
      <c r="A68" s="57">
        <v>62</v>
      </c>
      <c r="B68" s="58" t="s">
        <v>66</v>
      </c>
      <c r="C68" s="129">
        <f>100000+12944+100000+39430</f>
        <v>252374</v>
      </c>
      <c r="D68" s="133"/>
      <c r="E68" s="130">
        <v>147885.35</v>
      </c>
      <c r="F68" s="129">
        <f t="shared" si="5"/>
        <v>104488.65</v>
      </c>
      <c r="G68" s="129">
        <f>22500+213500+2390+166000+22500</f>
        <v>426890</v>
      </c>
      <c r="H68" s="129"/>
      <c r="I68" s="130">
        <v>323800</v>
      </c>
      <c r="J68" s="129">
        <f t="shared" si="6"/>
        <v>103090</v>
      </c>
      <c r="K68" s="129">
        <f>23645+443472+120000+306400+304000+260000+140000+23645+448600+443472+63978</f>
        <v>2577212</v>
      </c>
      <c r="L68" s="133">
        <v>23644.86</v>
      </c>
      <c r="M68" s="130">
        <v>1566429.06</v>
      </c>
      <c r="N68" s="129">
        <f t="shared" si="7"/>
        <v>987138.08000000007</v>
      </c>
      <c r="O68" s="134">
        <f t="shared" si="14"/>
        <v>3256476</v>
      </c>
      <c r="P68" s="134">
        <f t="shared" si="15"/>
        <v>23644.86</v>
      </c>
      <c r="Q68" s="134">
        <f t="shared" si="16"/>
        <v>2038114.4100000001</v>
      </c>
      <c r="R68" s="134">
        <f t="shared" si="4"/>
        <v>1194716.73</v>
      </c>
      <c r="S68" s="56">
        <f t="shared" si="17"/>
        <v>62.586501789050494</v>
      </c>
    </row>
    <row r="69" spans="1:19" s="70" customFormat="1" x14ac:dyDescent="0.55000000000000004">
      <c r="A69" s="57">
        <v>63</v>
      </c>
      <c r="B69" s="58" t="s">
        <v>67</v>
      </c>
      <c r="C69" s="129">
        <f>100000+242912+100000+335858</f>
        <v>778770</v>
      </c>
      <c r="D69" s="133"/>
      <c r="E69" s="130">
        <v>351853.1</v>
      </c>
      <c r="F69" s="129">
        <f t="shared" si="5"/>
        <v>426916.9</v>
      </c>
      <c r="G69" s="129">
        <f>13500+60700+1430+35300+13500</f>
        <v>124430</v>
      </c>
      <c r="H69" s="129"/>
      <c r="I69" s="130">
        <v>93912.52</v>
      </c>
      <c r="J69" s="129">
        <f t="shared" si="6"/>
        <v>30517.479999999996</v>
      </c>
      <c r="K69" s="129">
        <f>52242+499000+522000+150000+112000+52242+860000+499000</f>
        <v>2746484</v>
      </c>
      <c r="L69" s="133">
        <v>52242</v>
      </c>
      <c r="M69" s="130">
        <v>1389419.39</v>
      </c>
      <c r="N69" s="129">
        <f t="shared" si="7"/>
        <v>1304822.6100000001</v>
      </c>
      <c r="O69" s="134">
        <f t="shared" si="14"/>
        <v>3649684</v>
      </c>
      <c r="P69" s="134">
        <f t="shared" si="15"/>
        <v>52242</v>
      </c>
      <c r="Q69" s="134">
        <f t="shared" si="16"/>
        <v>1835185.0099999998</v>
      </c>
      <c r="R69" s="134">
        <f t="shared" si="4"/>
        <v>1762256.9900000002</v>
      </c>
      <c r="S69" s="56">
        <f t="shared" si="17"/>
        <v>50.283394671977071</v>
      </c>
    </row>
    <row r="70" spans="1:19" s="70" customFormat="1" x14ac:dyDescent="0.55000000000000004">
      <c r="A70" s="57">
        <v>64</v>
      </c>
      <c r="B70" s="58" t="s">
        <v>68</v>
      </c>
      <c r="C70" s="129">
        <f>100000+30848+100000</f>
        <v>230848</v>
      </c>
      <c r="D70" s="133"/>
      <c r="E70" s="130">
        <v>156490.20000000001</v>
      </c>
      <c r="F70" s="129">
        <f t="shared" si="5"/>
        <v>74357.799999999988</v>
      </c>
      <c r="G70" s="129">
        <f>9000+147500+960+92000+9000</f>
        <v>258460</v>
      </c>
      <c r="H70" s="129"/>
      <c r="I70" s="130">
        <v>172660</v>
      </c>
      <c r="J70" s="129">
        <f t="shared" si="6"/>
        <v>85800</v>
      </c>
      <c r="K70" s="129">
        <f>650000+369000+831000+653424</f>
        <v>2503424</v>
      </c>
      <c r="L70" s="133"/>
      <c r="M70" s="130">
        <v>979436.67</v>
      </c>
      <c r="N70" s="129">
        <f t="shared" si="7"/>
        <v>1523987.33</v>
      </c>
      <c r="O70" s="134">
        <f t="shared" ref="O70:O82" si="18">SUM(C70+G70+K70)</f>
        <v>2992732</v>
      </c>
      <c r="P70" s="134">
        <f t="shared" ref="P70:P82" si="19">SUM(D70+H70+L70)</f>
        <v>0</v>
      </c>
      <c r="Q70" s="134">
        <f t="shared" ref="Q70:Q82" si="20">SUM(E70+I70+M70)</f>
        <v>1308586.8700000001</v>
      </c>
      <c r="R70" s="134">
        <f t="shared" si="4"/>
        <v>1684145.13</v>
      </c>
      <c r="S70" s="56">
        <f t="shared" ref="S70:S82" si="21">SUM(Q70*100/O70)</f>
        <v>43.725494631660979</v>
      </c>
    </row>
    <row r="71" spans="1:19" s="70" customFormat="1" x14ac:dyDescent="0.55000000000000004">
      <c r="A71" s="57">
        <v>65</v>
      </c>
      <c r="B71" s="58" t="s">
        <v>69</v>
      </c>
      <c r="C71" s="129">
        <f>100000+6103+100000+99000</f>
        <v>305103</v>
      </c>
      <c r="D71" s="133"/>
      <c r="E71" s="130">
        <v>104685.85</v>
      </c>
      <c r="F71" s="129">
        <f t="shared" si="5"/>
        <v>200417.15</v>
      </c>
      <c r="G71" s="129">
        <f>27000+98000+2800+93500+27000</f>
        <v>248300</v>
      </c>
      <c r="H71" s="129"/>
      <c r="I71" s="130">
        <v>175003</v>
      </c>
      <c r="J71" s="129">
        <f t="shared" si="6"/>
        <v>73297</v>
      </c>
      <c r="K71" s="129">
        <f>550313+295000+933000+550313</f>
        <v>2328626</v>
      </c>
      <c r="L71" s="133">
        <v>509313</v>
      </c>
      <c r="M71" s="130">
        <v>1359504.75</v>
      </c>
      <c r="N71" s="129">
        <f t="shared" si="7"/>
        <v>459808.25</v>
      </c>
      <c r="O71" s="134">
        <f t="shared" si="18"/>
        <v>2882029</v>
      </c>
      <c r="P71" s="134">
        <f t="shared" si="19"/>
        <v>509313</v>
      </c>
      <c r="Q71" s="134">
        <f t="shared" si="20"/>
        <v>1639193.6000000001</v>
      </c>
      <c r="R71" s="134">
        <f t="shared" si="4"/>
        <v>733522.39999999991</v>
      </c>
      <c r="S71" s="56">
        <f t="shared" si="21"/>
        <v>56.876374248836498</v>
      </c>
    </row>
    <row r="72" spans="1:19" s="70" customFormat="1" x14ac:dyDescent="0.55000000000000004">
      <c r="A72" s="57">
        <v>66</v>
      </c>
      <c r="B72" s="58" t="s">
        <v>70</v>
      </c>
      <c r="C72" s="129">
        <f>100000+27544+4750+11824+100000+35000</f>
        <v>279118</v>
      </c>
      <c r="D72" s="133"/>
      <c r="E72" s="130">
        <v>195230.12</v>
      </c>
      <c r="F72" s="129">
        <f t="shared" si="5"/>
        <v>83887.88</v>
      </c>
      <c r="G72" s="129">
        <f>22500+103000+2370+72000+180000+22500</f>
        <v>402370</v>
      </c>
      <c r="H72" s="129"/>
      <c r="I72" s="130">
        <v>323852</v>
      </c>
      <c r="J72" s="129">
        <f t="shared" si="6"/>
        <v>78518</v>
      </c>
      <c r="K72" s="129">
        <f>26750+584610+120000+250000+603000+123900+150000+141000+26750+1390000+584610+37284</f>
        <v>4037904</v>
      </c>
      <c r="L72" s="133">
        <v>46750</v>
      </c>
      <c r="M72" s="130">
        <v>2490106.13</v>
      </c>
      <c r="N72" s="129">
        <f t="shared" si="7"/>
        <v>1501047.87</v>
      </c>
      <c r="O72" s="134">
        <f t="shared" si="18"/>
        <v>4719392</v>
      </c>
      <c r="P72" s="134">
        <f t="shared" si="19"/>
        <v>46750</v>
      </c>
      <c r="Q72" s="134">
        <f t="shared" si="20"/>
        <v>3009188.25</v>
      </c>
      <c r="R72" s="134">
        <f t="shared" ref="R72:R82" si="22">SUM(O72-P72-Q72)</f>
        <v>1663453.75</v>
      </c>
      <c r="S72" s="56">
        <f t="shared" si="21"/>
        <v>63.762201783619588</v>
      </c>
    </row>
    <row r="73" spans="1:19" s="70" customFormat="1" x14ac:dyDescent="0.55000000000000004">
      <c r="A73" s="57">
        <v>67</v>
      </c>
      <c r="B73" s="58" t="s">
        <v>71</v>
      </c>
      <c r="C73" s="129">
        <f>100000+100000+36612</f>
        <v>236612</v>
      </c>
      <c r="D73" s="133"/>
      <c r="E73" s="130">
        <v>236517</v>
      </c>
      <c r="F73" s="129">
        <f t="shared" si="5"/>
        <v>95</v>
      </c>
      <c r="G73" s="129">
        <f>13500+267150+1440+52750+275820+13500</f>
        <v>624160</v>
      </c>
      <c r="H73" s="129"/>
      <c r="I73" s="130">
        <v>532140</v>
      </c>
      <c r="J73" s="129">
        <f t="shared" si="6"/>
        <v>92020</v>
      </c>
      <c r="K73" s="129">
        <f>41195+997648+416000+41195+329000+997648</f>
        <v>2822686</v>
      </c>
      <c r="L73" s="133">
        <v>1038843</v>
      </c>
      <c r="M73" s="130">
        <v>1444052.07</v>
      </c>
      <c r="N73" s="129">
        <f t="shared" si="7"/>
        <v>339790.92999999993</v>
      </c>
      <c r="O73" s="134">
        <f t="shared" si="18"/>
        <v>3683458</v>
      </c>
      <c r="P73" s="134">
        <f t="shared" si="19"/>
        <v>1038843</v>
      </c>
      <c r="Q73" s="134">
        <f t="shared" si="20"/>
        <v>2212709.0700000003</v>
      </c>
      <c r="R73" s="134">
        <f t="shared" si="22"/>
        <v>431905.9299999997</v>
      </c>
      <c r="S73" s="56">
        <f t="shared" si="21"/>
        <v>60.071516221984893</v>
      </c>
    </row>
    <row r="74" spans="1:19" s="70" customFormat="1" x14ac:dyDescent="0.55000000000000004">
      <c r="A74" s="57">
        <v>68</v>
      </c>
      <c r="B74" s="58" t="s">
        <v>72</v>
      </c>
      <c r="C74" s="129">
        <f>100000+12032+100000+7320</f>
        <v>219352</v>
      </c>
      <c r="D74" s="133"/>
      <c r="E74" s="130">
        <v>120244.25</v>
      </c>
      <c r="F74" s="129">
        <f t="shared" si="5"/>
        <v>99107.75</v>
      </c>
      <c r="G74" s="129">
        <f>22500+2350+22500</f>
        <v>47350</v>
      </c>
      <c r="H74" s="129"/>
      <c r="I74" s="130">
        <v>26941</v>
      </c>
      <c r="J74" s="129">
        <f t="shared" si="6"/>
        <v>20409</v>
      </c>
      <c r="K74" s="129">
        <f>40660+1097000+541000+40660+809000+1097000-53612</f>
        <v>3571708</v>
      </c>
      <c r="L74" s="133">
        <v>1084048</v>
      </c>
      <c r="M74" s="130">
        <v>2158992.54</v>
      </c>
      <c r="N74" s="129">
        <f t="shared" si="7"/>
        <v>328667.45999999996</v>
      </c>
      <c r="O74" s="134">
        <f t="shared" si="18"/>
        <v>3838410</v>
      </c>
      <c r="P74" s="134">
        <f t="shared" si="19"/>
        <v>1084048</v>
      </c>
      <c r="Q74" s="134">
        <f t="shared" si="20"/>
        <v>2306177.79</v>
      </c>
      <c r="R74" s="134">
        <f t="shared" si="22"/>
        <v>448184.20999999996</v>
      </c>
      <c r="S74" s="56">
        <f t="shared" si="21"/>
        <v>60.081590814946814</v>
      </c>
    </row>
    <row r="75" spans="1:19" s="70" customFormat="1" x14ac:dyDescent="0.55000000000000004">
      <c r="A75" s="57">
        <v>69</v>
      </c>
      <c r="B75" s="58" t="s">
        <v>73</v>
      </c>
      <c r="C75" s="129">
        <f>100000+42256+24750+100000+8800+3500</f>
        <v>279306</v>
      </c>
      <c r="D75" s="133"/>
      <c r="E75" s="130">
        <v>210364</v>
      </c>
      <c r="F75" s="129">
        <f t="shared" ref="F75:F82" si="23">SUM(C75-D75-E75)</f>
        <v>68942</v>
      </c>
      <c r="G75" s="129">
        <f>22500+113340+2400+24000+51029+22500</f>
        <v>235769</v>
      </c>
      <c r="H75" s="129"/>
      <c r="I75" s="130">
        <v>160630</v>
      </c>
      <c r="J75" s="129">
        <f t="shared" ref="J75:J82" si="24">SUM(G75-H75-I75)</f>
        <v>75139</v>
      </c>
      <c r="K75" s="129">
        <f>30000+390000+4110850+120000+250000+428000+2740000+440000+150000+30000+768000+390000</f>
        <v>9846850</v>
      </c>
      <c r="L75" s="133">
        <v>4403000</v>
      </c>
      <c r="M75" s="130">
        <v>4444807.76</v>
      </c>
      <c r="N75" s="129">
        <f t="shared" ref="N75:N82" si="25">SUM(K75-L75-M75)</f>
        <v>999042.24000000022</v>
      </c>
      <c r="O75" s="134">
        <f t="shared" si="18"/>
        <v>10361925</v>
      </c>
      <c r="P75" s="134">
        <f t="shared" si="19"/>
        <v>4403000</v>
      </c>
      <c r="Q75" s="134">
        <f t="shared" si="20"/>
        <v>4815801.76</v>
      </c>
      <c r="R75" s="134">
        <f t="shared" si="22"/>
        <v>1143123.2400000002</v>
      </c>
      <c r="S75" s="56">
        <f t="shared" si="21"/>
        <v>46.475937241390959</v>
      </c>
    </row>
    <row r="76" spans="1:19" s="70" customFormat="1" x14ac:dyDescent="0.55000000000000004">
      <c r="A76" s="57">
        <v>70</v>
      </c>
      <c r="B76" s="58" t="s">
        <v>74</v>
      </c>
      <c r="C76" s="129">
        <f>100000+12812+100000</f>
        <v>212812</v>
      </c>
      <c r="D76" s="133"/>
      <c r="E76" s="130">
        <v>151630</v>
      </c>
      <c r="F76" s="129">
        <f t="shared" si="23"/>
        <v>61182</v>
      </c>
      <c r="G76" s="129">
        <f>18000+291000+1920+196000+249000+18000</f>
        <v>773920</v>
      </c>
      <c r="H76" s="129"/>
      <c r="I76" s="130">
        <v>689090</v>
      </c>
      <c r="J76" s="129">
        <f t="shared" si="24"/>
        <v>84830</v>
      </c>
      <c r="K76" s="129">
        <f>23540+294900+341400+270000+23540+453200+294900</f>
        <v>1701480</v>
      </c>
      <c r="L76" s="133">
        <v>659840</v>
      </c>
      <c r="M76" s="130">
        <v>834135.63</v>
      </c>
      <c r="N76" s="129">
        <f t="shared" si="25"/>
        <v>207504.37</v>
      </c>
      <c r="O76" s="134">
        <f t="shared" si="18"/>
        <v>2688212</v>
      </c>
      <c r="P76" s="134">
        <f t="shared" si="19"/>
        <v>659840</v>
      </c>
      <c r="Q76" s="134">
        <f t="shared" si="20"/>
        <v>1674855.63</v>
      </c>
      <c r="R76" s="134">
        <f t="shared" si="22"/>
        <v>353516.37000000011</v>
      </c>
      <c r="S76" s="56">
        <f t="shared" si="21"/>
        <v>62.303703353753349</v>
      </c>
    </row>
    <row r="77" spans="1:19" s="70" customFormat="1" x14ac:dyDescent="0.55000000000000004">
      <c r="A77" s="57">
        <v>71</v>
      </c>
      <c r="B77" s="58" t="s">
        <v>75</v>
      </c>
      <c r="C77" s="129">
        <f>100000+23732+100000+93090</f>
        <v>316822</v>
      </c>
      <c r="D77" s="133"/>
      <c r="E77" s="130">
        <v>73484.02</v>
      </c>
      <c r="F77" s="129">
        <f t="shared" si="23"/>
        <v>243337.97999999998</v>
      </c>
      <c r="G77" s="129">
        <f>22500+2400+22500</f>
        <v>47400</v>
      </c>
      <c r="H77" s="129"/>
      <c r="I77" s="130">
        <v>27890</v>
      </c>
      <c r="J77" s="129">
        <f t="shared" si="24"/>
        <v>19510</v>
      </c>
      <c r="K77" s="129">
        <f>34240+398310+305000+34240+534000+398310</f>
        <v>1704100</v>
      </c>
      <c r="L77" s="133"/>
      <c r="M77" s="130">
        <v>1092756.46</v>
      </c>
      <c r="N77" s="129">
        <f t="shared" si="25"/>
        <v>611343.54</v>
      </c>
      <c r="O77" s="134">
        <f t="shared" si="18"/>
        <v>2068322</v>
      </c>
      <c r="P77" s="134">
        <f>SUM(D77+H77+L77)</f>
        <v>0</v>
      </c>
      <c r="Q77" s="134">
        <f t="shared" si="20"/>
        <v>1194130.48</v>
      </c>
      <c r="R77" s="134">
        <f t="shared" si="22"/>
        <v>874191.52</v>
      </c>
      <c r="S77" s="56">
        <f t="shared" si="21"/>
        <v>57.734263813854902</v>
      </c>
    </row>
    <row r="78" spans="1:19" s="70" customFormat="1" x14ac:dyDescent="0.55000000000000004">
      <c r="A78" s="57">
        <v>72</v>
      </c>
      <c r="B78" s="58" t="s">
        <v>76</v>
      </c>
      <c r="C78" s="129">
        <f>100000+10948+28094+178155+100000</f>
        <v>417197</v>
      </c>
      <c r="D78" s="133"/>
      <c r="E78" s="130">
        <v>84027</v>
      </c>
      <c r="F78" s="129">
        <f t="shared" si="23"/>
        <v>333170</v>
      </c>
      <c r="G78" s="129">
        <f>18000+306450+1910+234760+18000</f>
        <v>579120</v>
      </c>
      <c r="H78" s="129"/>
      <c r="I78" s="130">
        <v>432724</v>
      </c>
      <c r="J78" s="129">
        <f t="shared" si="24"/>
        <v>146396</v>
      </c>
      <c r="K78" s="129">
        <f>22042+457500+396000+22042+498000+454998+22000</f>
        <v>1872582</v>
      </c>
      <c r="L78" s="133"/>
      <c r="M78" s="130">
        <v>1169540.4099999999</v>
      </c>
      <c r="N78" s="129">
        <f t="shared" si="25"/>
        <v>703041.59000000008</v>
      </c>
      <c r="O78" s="134">
        <f t="shared" si="18"/>
        <v>2868899</v>
      </c>
      <c r="P78" s="134">
        <f t="shared" si="19"/>
        <v>0</v>
      </c>
      <c r="Q78" s="134">
        <f t="shared" si="20"/>
        <v>1686291.41</v>
      </c>
      <c r="R78" s="134">
        <f t="shared" si="22"/>
        <v>1182607.5900000001</v>
      </c>
      <c r="S78" s="56">
        <f t="shared" si="21"/>
        <v>58.778347024415986</v>
      </c>
    </row>
    <row r="79" spans="1:19" s="70" customFormat="1" x14ac:dyDescent="0.55000000000000004">
      <c r="A79" s="57">
        <v>73</v>
      </c>
      <c r="B79" s="58" t="s">
        <v>77</v>
      </c>
      <c r="C79" s="129">
        <f>100000+45281+11728+100000</f>
        <v>257009</v>
      </c>
      <c r="D79" s="133"/>
      <c r="E79" s="130">
        <v>239019.64</v>
      </c>
      <c r="F79" s="129">
        <f t="shared" si="23"/>
        <v>17989.359999999986</v>
      </c>
      <c r="G79" s="129">
        <f>27000+30000+90000+2880+24000+90000+27000</f>
        <v>290880</v>
      </c>
      <c r="H79" s="129"/>
      <c r="I79" s="130">
        <v>180467</v>
      </c>
      <c r="J79" s="129">
        <f t="shared" si="24"/>
        <v>110413</v>
      </c>
      <c r="K79" s="129">
        <f>271114+4283450+474000+1784700+554000+271114+133944</f>
        <v>7772322</v>
      </c>
      <c r="L79" s="133">
        <v>271110</v>
      </c>
      <c r="M79" s="130">
        <v>3026391.05</v>
      </c>
      <c r="N79" s="129">
        <f t="shared" si="25"/>
        <v>4474820.95</v>
      </c>
      <c r="O79" s="134">
        <f t="shared" si="18"/>
        <v>8320211</v>
      </c>
      <c r="P79" s="134">
        <f t="shared" si="19"/>
        <v>271110</v>
      </c>
      <c r="Q79" s="134">
        <f t="shared" si="20"/>
        <v>3445877.69</v>
      </c>
      <c r="R79" s="134">
        <f t="shared" si="22"/>
        <v>4603223.3100000005</v>
      </c>
      <c r="S79" s="56">
        <f t="shared" si="21"/>
        <v>41.415748831369783</v>
      </c>
    </row>
    <row r="80" spans="1:19" s="70" customFormat="1" x14ac:dyDescent="0.55000000000000004">
      <c r="A80" s="57">
        <v>74</v>
      </c>
      <c r="B80" s="58" t="s">
        <v>78</v>
      </c>
      <c r="C80" s="129">
        <f>100000+6180+670500+100000</f>
        <v>876680</v>
      </c>
      <c r="D80" s="133">
        <v>644155</v>
      </c>
      <c r="E80" s="130">
        <v>167740.38</v>
      </c>
      <c r="F80" s="129">
        <f t="shared" si="23"/>
        <v>64784.619999999995</v>
      </c>
      <c r="G80" s="129">
        <f>27000+201500+90000+2870+40000+201000+90000+27000</f>
        <v>679370</v>
      </c>
      <c r="H80" s="129"/>
      <c r="I80" s="130">
        <v>480360</v>
      </c>
      <c r="J80" s="129">
        <f t="shared" si="24"/>
        <v>199010</v>
      </c>
      <c r="K80" s="129">
        <f>32100+456000+2781300+427000+99510+2781300+32100+618000+456000</f>
        <v>7683310</v>
      </c>
      <c r="L80" s="133">
        <v>488100</v>
      </c>
      <c r="M80" s="130">
        <v>3827352.33</v>
      </c>
      <c r="N80" s="129">
        <f t="shared" si="25"/>
        <v>3367857.67</v>
      </c>
      <c r="O80" s="134">
        <f t="shared" si="18"/>
        <v>9239360</v>
      </c>
      <c r="P80" s="134">
        <f t="shared" si="19"/>
        <v>1132255</v>
      </c>
      <c r="Q80" s="134">
        <f t="shared" si="20"/>
        <v>4475452.71</v>
      </c>
      <c r="R80" s="134">
        <f t="shared" si="22"/>
        <v>3631652.29</v>
      </c>
      <c r="S80" s="56">
        <f t="shared" si="21"/>
        <v>48.438990471201471</v>
      </c>
    </row>
    <row r="81" spans="1:19" s="70" customFormat="1" x14ac:dyDescent="0.55000000000000004">
      <c r="A81" s="57">
        <v>75</v>
      </c>
      <c r="B81" s="58" t="s">
        <v>79</v>
      </c>
      <c r="C81" s="129">
        <f>100000+32952+100000</f>
        <v>232952</v>
      </c>
      <c r="D81" s="133"/>
      <c r="E81" s="130">
        <v>198270.13</v>
      </c>
      <c r="F81" s="129">
        <f t="shared" si="23"/>
        <v>34681.869999999995</v>
      </c>
      <c r="G81" s="129">
        <f>22500+192100+75000+2280+158000+75000+22500</f>
        <v>547380</v>
      </c>
      <c r="H81" s="129"/>
      <c r="I81" s="130">
        <v>424650</v>
      </c>
      <c r="J81" s="129">
        <f t="shared" si="24"/>
        <v>122730</v>
      </c>
      <c r="K81" s="129">
        <f>32100+639000+5302700+361000+140507+3535133+32100+665000+639000</f>
        <v>11346540</v>
      </c>
      <c r="L81" s="133">
        <v>5403157</v>
      </c>
      <c r="M81" s="130">
        <v>4680380.34</v>
      </c>
      <c r="N81" s="129">
        <f t="shared" si="25"/>
        <v>1263002.6600000001</v>
      </c>
      <c r="O81" s="134">
        <f t="shared" si="18"/>
        <v>12126872</v>
      </c>
      <c r="P81" s="134">
        <f t="shared" si="19"/>
        <v>5403157</v>
      </c>
      <c r="Q81" s="134">
        <f t="shared" si="20"/>
        <v>5303300.47</v>
      </c>
      <c r="R81" s="134">
        <f t="shared" si="22"/>
        <v>1420414.5300000003</v>
      </c>
      <c r="S81" s="56">
        <f t="shared" si="21"/>
        <v>43.731808746723807</v>
      </c>
    </row>
    <row r="82" spans="1:19" s="70" customFormat="1" x14ac:dyDescent="0.55000000000000004">
      <c r="A82" s="57">
        <v>76</v>
      </c>
      <c r="B82" s="58" t="s">
        <v>80</v>
      </c>
      <c r="C82" s="129">
        <f>100000+69301+617500+100000+433400</f>
        <v>1320201</v>
      </c>
      <c r="D82" s="133"/>
      <c r="E82" s="130">
        <v>813306.75</v>
      </c>
      <c r="F82" s="129">
        <f t="shared" si="23"/>
        <v>506894.25</v>
      </c>
      <c r="G82" s="129">
        <f>18000+34000+1890+24000+18000</f>
        <v>95890</v>
      </c>
      <c r="H82" s="129"/>
      <c r="I82" s="130">
        <v>68236</v>
      </c>
      <c r="J82" s="129">
        <f t="shared" si="24"/>
        <v>27654</v>
      </c>
      <c r="K82" s="129">
        <f>77040+506000+77040+1001000+617500</f>
        <v>2278580</v>
      </c>
      <c r="L82" s="133">
        <v>12840</v>
      </c>
      <c r="M82" s="130">
        <v>935100.43</v>
      </c>
      <c r="N82" s="129">
        <f t="shared" si="25"/>
        <v>1330639.5699999998</v>
      </c>
      <c r="O82" s="134">
        <f t="shared" si="18"/>
        <v>3694671</v>
      </c>
      <c r="P82" s="134">
        <f t="shared" si="19"/>
        <v>12840</v>
      </c>
      <c r="Q82" s="134">
        <f t="shared" si="20"/>
        <v>1816643.1800000002</v>
      </c>
      <c r="R82" s="134">
        <f t="shared" si="22"/>
        <v>1865187.8199999998</v>
      </c>
      <c r="S82" s="56">
        <f t="shared" si="21"/>
        <v>49.169281378504344</v>
      </c>
    </row>
    <row r="83" spans="1:19" x14ac:dyDescent="0.55000000000000004">
      <c r="O83" s="61"/>
      <c r="Q83" s="61"/>
      <c r="R83" s="61"/>
    </row>
    <row r="103" spans="3:16" x14ac:dyDescent="0.55000000000000004">
      <c r="C103" s="45"/>
      <c r="H103" s="45"/>
      <c r="P103" s="45"/>
    </row>
    <row r="104" spans="3:16" x14ac:dyDescent="0.55000000000000004">
      <c r="C104" s="45"/>
      <c r="H104" s="45"/>
      <c r="P104" s="45"/>
    </row>
    <row r="105" spans="3:16" x14ac:dyDescent="0.55000000000000004">
      <c r="C105" s="45"/>
      <c r="F105" s="45"/>
      <c r="G105" s="45"/>
      <c r="H105" s="45"/>
      <c r="I105" s="45"/>
      <c r="P105" s="45"/>
    </row>
    <row r="106" spans="3:16" x14ac:dyDescent="0.55000000000000004">
      <c r="C106" s="45"/>
      <c r="F106" s="45"/>
      <c r="G106" s="45"/>
      <c r="H106" s="45"/>
      <c r="I106" s="45"/>
      <c r="P106" s="45"/>
    </row>
    <row r="107" spans="3:16" x14ac:dyDescent="0.55000000000000004">
      <c r="C107" s="45"/>
      <c r="F107" s="45"/>
      <c r="G107" s="45"/>
      <c r="H107" s="45"/>
      <c r="I107" s="45"/>
      <c r="P107" s="45"/>
    </row>
    <row r="108" spans="3:16" x14ac:dyDescent="0.55000000000000004">
      <c r="C108" s="61"/>
      <c r="E108" s="61"/>
      <c r="F108" s="61"/>
      <c r="G108" s="61"/>
      <c r="H108" s="61"/>
      <c r="I108" s="61"/>
      <c r="J108" s="32"/>
      <c r="P108" s="61"/>
    </row>
    <row r="109" spans="3:16" x14ac:dyDescent="0.55000000000000004">
      <c r="J109" s="62"/>
    </row>
    <row r="111" spans="3:16" x14ac:dyDescent="0.55000000000000004">
      <c r="C111" s="32"/>
      <c r="F111" s="32"/>
      <c r="H111" s="32"/>
      <c r="I111" s="32"/>
      <c r="P111" s="32"/>
    </row>
    <row r="112" spans="3:16" x14ac:dyDescent="0.55000000000000004">
      <c r="C112" s="62"/>
      <c r="F112" s="62"/>
      <c r="H112" s="62"/>
      <c r="I112" s="62"/>
      <c r="J112" s="62"/>
      <c r="P112" s="62"/>
    </row>
  </sheetData>
  <sheetProtection selectLockedCells="1"/>
  <mergeCells count="9">
    <mergeCell ref="A2:R2"/>
    <mergeCell ref="A1:R1"/>
    <mergeCell ref="A6:B6"/>
    <mergeCell ref="A4:A5"/>
    <mergeCell ref="B4:B5"/>
    <mergeCell ref="C4:F4"/>
    <mergeCell ref="G4:J4"/>
    <mergeCell ref="K4:N4"/>
    <mergeCell ref="O4:S4"/>
  </mergeCells>
  <pageMargins left="0.25" right="0.25" top="0.75" bottom="0.7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24" x14ac:dyDescent="0.55000000000000004"/>
  <cols>
    <col min="1" max="1" width="6.875" style="28" customWidth="1"/>
    <col min="2" max="2" width="23.125" style="44" bestFit="1" customWidth="1"/>
    <col min="3" max="3" width="24.5" style="28" bestFit="1" customWidth="1"/>
    <col min="4" max="4" width="28.625" style="28" bestFit="1" customWidth="1"/>
    <col min="5" max="6" width="24.5" style="28" bestFit="1" customWidth="1"/>
    <col min="7" max="7" width="16.375" style="28" bestFit="1" customWidth="1"/>
    <col min="8" max="16384" width="9" style="28"/>
  </cols>
  <sheetData>
    <row r="1" spans="1:7" s="42" customFormat="1" ht="27.75" x14ac:dyDescent="0.65">
      <c r="A1" s="75" t="s">
        <v>137</v>
      </c>
      <c r="B1" s="75"/>
      <c r="C1" s="75"/>
      <c r="D1" s="75"/>
      <c r="E1" s="75"/>
      <c r="F1" s="75"/>
      <c r="G1" s="75"/>
    </row>
    <row r="2" spans="1:7" s="42" customFormat="1" ht="27.75" x14ac:dyDescent="0.65">
      <c r="A2" s="75" t="s">
        <v>136</v>
      </c>
      <c r="B2" s="75"/>
      <c r="C2" s="75"/>
      <c r="D2" s="75"/>
      <c r="E2" s="75"/>
      <c r="F2" s="75"/>
      <c r="G2" s="75"/>
    </row>
    <row r="3" spans="1:7" s="42" customFormat="1" x14ac:dyDescent="0.55000000000000004">
      <c r="A3" s="43"/>
      <c r="B3" s="43"/>
    </row>
    <row r="4" spans="1:7" x14ac:dyDescent="0.55000000000000004">
      <c r="A4" s="78" t="s">
        <v>0</v>
      </c>
      <c r="B4" s="78" t="s">
        <v>1</v>
      </c>
      <c r="C4" s="72" t="s">
        <v>85</v>
      </c>
      <c r="D4" s="73"/>
      <c r="E4" s="73"/>
      <c r="F4" s="73"/>
      <c r="G4" s="74"/>
    </row>
    <row r="5" spans="1:7" x14ac:dyDescent="0.55000000000000004">
      <c r="A5" s="79"/>
      <c r="B5" s="79"/>
      <c r="C5" s="29" t="s">
        <v>2</v>
      </c>
      <c r="D5" s="29" t="s">
        <v>111</v>
      </c>
      <c r="E5" s="29" t="s">
        <v>3</v>
      </c>
      <c r="F5" s="34" t="s">
        <v>4</v>
      </c>
      <c r="G5" s="29" t="s">
        <v>110</v>
      </c>
    </row>
    <row r="6" spans="1:7" x14ac:dyDescent="0.55000000000000004">
      <c r="A6" s="67" t="s">
        <v>82</v>
      </c>
      <c r="B6" s="68"/>
      <c r="C6" s="31">
        <f>SUM(C7:C82)</f>
        <v>765724113</v>
      </c>
      <c r="D6" s="31">
        <f>SUM(D7:D82)</f>
        <v>188276260.52000001</v>
      </c>
      <c r="E6" s="31">
        <f>SUM(E7:E82)</f>
        <v>207726120.41</v>
      </c>
      <c r="F6" s="35">
        <f>SUM(C6-D6-E6)</f>
        <v>369721732.07000005</v>
      </c>
      <c r="G6" s="31">
        <f>SUM(E6*100/C6)</f>
        <v>27.128063082166513</v>
      </c>
    </row>
    <row r="7" spans="1:7" s="70" customFormat="1" x14ac:dyDescent="0.55000000000000004">
      <c r="A7" s="57">
        <v>1</v>
      </c>
      <c r="B7" s="58" t="s">
        <v>5</v>
      </c>
      <c r="C7" s="129">
        <f>30000+500000+1076000</f>
        <v>1606000</v>
      </c>
      <c r="D7" s="129"/>
      <c r="E7" s="129"/>
      <c r="F7" s="136">
        <f>SUM(C7-D7-E7)</f>
        <v>1606000</v>
      </c>
      <c r="G7" s="56">
        <f t="shared" ref="G7:G73" si="0">SUM(E7*100/C7)</f>
        <v>0</v>
      </c>
    </row>
    <row r="8" spans="1:7" s="70" customFormat="1" x14ac:dyDescent="0.55000000000000004">
      <c r="A8" s="57">
        <v>2</v>
      </c>
      <c r="B8" s="58" t="s">
        <v>6</v>
      </c>
      <c r="C8" s="129">
        <f>30000+500000+3877100-3877100</f>
        <v>530000</v>
      </c>
      <c r="D8" s="129"/>
      <c r="E8" s="129">
        <v>29960</v>
      </c>
      <c r="F8" s="136">
        <f t="shared" ref="F8:F71" si="1">SUM(C8-D8-E8)</f>
        <v>500040</v>
      </c>
      <c r="G8" s="56">
        <f t="shared" si="0"/>
        <v>5.6528301886792454</v>
      </c>
    </row>
    <row r="9" spans="1:7" s="70" customFormat="1" x14ac:dyDescent="0.55000000000000004">
      <c r="A9" s="57">
        <v>3</v>
      </c>
      <c r="B9" s="58" t="s">
        <v>7</v>
      </c>
      <c r="C9" s="129">
        <f t="shared" ref="C9" si="2">30000+500000</f>
        <v>530000</v>
      </c>
      <c r="D9" s="129"/>
      <c r="E9" s="129"/>
      <c r="F9" s="136">
        <f t="shared" si="1"/>
        <v>530000</v>
      </c>
      <c r="G9" s="56">
        <f t="shared" si="0"/>
        <v>0</v>
      </c>
    </row>
    <row r="10" spans="1:7" s="70" customFormat="1" x14ac:dyDescent="0.55000000000000004">
      <c r="A10" s="57">
        <v>4</v>
      </c>
      <c r="B10" s="58" t="s">
        <v>8</v>
      </c>
      <c r="C10" s="129">
        <f>48350000+30000+500000+10924900+3877100</f>
        <v>63682000</v>
      </c>
      <c r="D10" s="129">
        <v>59770800</v>
      </c>
      <c r="E10" s="129"/>
      <c r="F10" s="136">
        <f t="shared" si="1"/>
        <v>3911200</v>
      </c>
      <c r="G10" s="56">
        <f t="shared" si="0"/>
        <v>0</v>
      </c>
    </row>
    <row r="11" spans="1:7" s="70" customFormat="1" x14ac:dyDescent="0.55000000000000004">
      <c r="A11" s="57">
        <v>5</v>
      </c>
      <c r="B11" s="58" t="s">
        <v>9</v>
      </c>
      <c r="C11" s="129">
        <f>30000+500000+1429900</f>
        <v>1959900</v>
      </c>
      <c r="D11" s="129">
        <v>499800</v>
      </c>
      <c r="E11" s="129"/>
      <c r="F11" s="136">
        <f t="shared" si="1"/>
        <v>1460100</v>
      </c>
      <c r="G11" s="56">
        <f t="shared" si="0"/>
        <v>0</v>
      </c>
    </row>
    <row r="12" spans="1:7" s="70" customFormat="1" x14ac:dyDescent="0.55000000000000004">
      <c r="A12" s="57">
        <v>6</v>
      </c>
      <c r="B12" s="58" t="s">
        <v>10</v>
      </c>
      <c r="C12" s="129">
        <f>30000+500000+3877100-3877100</f>
        <v>530000</v>
      </c>
      <c r="D12" s="129"/>
      <c r="E12" s="129"/>
      <c r="F12" s="136">
        <f t="shared" si="1"/>
        <v>530000</v>
      </c>
      <c r="G12" s="56">
        <v>0</v>
      </c>
    </row>
    <row r="13" spans="1:7" s="70" customFormat="1" x14ac:dyDescent="0.55000000000000004">
      <c r="A13" s="57">
        <v>7</v>
      </c>
      <c r="B13" s="58" t="s">
        <v>11</v>
      </c>
      <c r="C13" s="129">
        <f>30000+500000+1290000</f>
        <v>1820000</v>
      </c>
      <c r="D13" s="129">
        <v>1468000</v>
      </c>
      <c r="E13" s="129">
        <v>28900</v>
      </c>
      <c r="F13" s="136">
        <f t="shared" si="1"/>
        <v>323100</v>
      </c>
      <c r="G13" s="56">
        <f t="shared" si="0"/>
        <v>1.5879120879120878</v>
      </c>
    </row>
    <row r="14" spans="1:7" s="70" customFormat="1" x14ac:dyDescent="0.55000000000000004">
      <c r="A14" s="57">
        <v>8</v>
      </c>
      <c r="B14" s="58" t="s">
        <v>12</v>
      </c>
      <c r="C14" s="129">
        <f>30000+500000+3745000+3877100</f>
        <v>8152100</v>
      </c>
      <c r="D14" s="129">
        <v>6800000</v>
      </c>
      <c r="E14" s="129"/>
      <c r="F14" s="136">
        <f t="shared" si="1"/>
        <v>1352100</v>
      </c>
      <c r="G14" s="56">
        <f t="shared" si="0"/>
        <v>0</v>
      </c>
    </row>
    <row r="15" spans="1:7" s="70" customFormat="1" x14ac:dyDescent="0.55000000000000004">
      <c r="A15" s="57">
        <v>9</v>
      </c>
      <c r="B15" s="58" t="s">
        <v>13</v>
      </c>
      <c r="C15" s="129">
        <f t="shared" ref="C15:C19" si="3">30000+500000</f>
        <v>530000</v>
      </c>
      <c r="D15" s="129">
        <v>500000</v>
      </c>
      <c r="E15" s="129">
        <v>30000</v>
      </c>
      <c r="F15" s="136">
        <f t="shared" si="1"/>
        <v>0</v>
      </c>
      <c r="G15" s="56">
        <f t="shared" si="0"/>
        <v>5.6603773584905657</v>
      </c>
    </row>
    <row r="16" spans="1:7" s="70" customFormat="1" x14ac:dyDescent="0.55000000000000004">
      <c r="A16" s="57">
        <v>10</v>
      </c>
      <c r="B16" s="58" t="s">
        <v>14</v>
      </c>
      <c r="C16" s="129">
        <f t="shared" si="3"/>
        <v>530000</v>
      </c>
      <c r="D16" s="129">
        <v>530000</v>
      </c>
      <c r="E16" s="129"/>
      <c r="F16" s="136">
        <f t="shared" si="1"/>
        <v>0</v>
      </c>
      <c r="G16" s="56">
        <v>0</v>
      </c>
    </row>
    <row r="17" spans="1:9" s="70" customFormat="1" x14ac:dyDescent="0.55000000000000004">
      <c r="A17" s="57">
        <v>11</v>
      </c>
      <c r="B17" s="58" t="s">
        <v>15</v>
      </c>
      <c r="C17" s="129">
        <f>30000+500000+3745000+3877100+800000</f>
        <v>8952100</v>
      </c>
      <c r="D17" s="129">
        <v>700000</v>
      </c>
      <c r="E17" s="129">
        <v>100000</v>
      </c>
      <c r="F17" s="136">
        <f t="shared" si="1"/>
        <v>8152100</v>
      </c>
      <c r="G17" s="56">
        <f t="shared" si="0"/>
        <v>1.1170563331508807</v>
      </c>
    </row>
    <row r="18" spans="1:9" s="70" customFormat="1" x14ac:dyDescent="0.55000000000000004">
      <c r="A18" s="57">
        <v>12</v>
      </c>
      <c r="B18" s="58" t="s">
        <v>16</v>
      </c>
      <c r="C18" s="129">
        <f t="shared" si="3"/>
        <v>530000</v>
      </c>
      <c r="D18" s="129">
        <v>499799.5</v>
      </c>
      <c r="E18" s="129">
        <v>29640</v>
      </c>
      <c r="F18" s="136">
        <f t="shared" si="1"/>
        <v>560.5</v>
      </c>
      <c r="G18" s="56">
        <v>0</v>
      </c>
    </row>
    <row r="19" spans="1:9" s="70" customFormat="1" x14ac:dyDescent="0.55000000000000004">
      <c r="A19" s="57">
        <v>13</v>
      </c>
      <c r="B19" s="58" t="s">
        <v>17</v>
      </c>
      <c r="C19" s="129">
        <f t="shared" si="3"/>
        <v>530000</v>
      </c>
      <c r="D19" s="129">
        <v>529000</v>
      </c>
      <c r="E19" s="129"/>
      <c r="F19" s="136">
        <f t="shared" si="1"/>
        <v>1000</v>
      </c>
      <c r="G19" s="56">
        <v>0</v>
      </c>
    </row>
    <row r="20" spans="1:9" s="70" customFormat="1" x14ac:dyDescent="0.55000000000000004">
      <c r="A20" s="57">
        <v>14</v>
      </c>
      <c r="B20" s="58" t="s">
        <v>18</v>
      </c>
      <c r="C20" s="129">
        <f>30000+500000+3400000+2401500-3400000</f>
        <v>2931500</v>
      </c>
      <c r="D20" s="129"/>
      <c r="E20" s="129"/>
      <c r="F20" s="136">
        <f t="shared" si="1"/>
        <v>2931500</v>
      </c>
      <c r="G20" s="56">
        <v>0</v>
      </c>
      <c r="I20" s="70" t="s">
        <v>115</v>
      </c>
    </row>
    <row r="21" spans="1:9" s="70" customFormat="1" x14ac:dyDescent="0.55000000000000004">
      <c r="A21" s="57">
        <v>15</v>
      </c>
      <c r="B21" s="58" t="s">
        <v>19</v>
      </c>
      <c r="C21" s="129">
        <f>30000+500000+19173000</f>
        <v>19703000</v>
      </c>
      <c r="D21" s="129"/>
      <c r="E21" s="129"/>
      <c r="F21" s="136">
        <f t="shared" si="1"/>
        <v>19703000</v>
      </c>
      <c r="G21" s="56">
        <v>0</v>
      </c>
    </row>
    <row r="22" spans="1:9" s="70" customFormat="1" x14ac:dyDescent="0.55000000000000004">
      <c r="A22" s="57">
        <v>16</v>
      </c>
      <c r="B22" s="58" t="s">
        <v>20</v>
      </c>
      <c r="C22" s="129">
        <f>18000000+30000+500000+11585600</f>
        <v>30115600</v>
      </c>
      <c r="D22" s="129">
        <v>29585600</v>
      </c>
      <c r="E22" s="129"/>
      <c r="F22" s="136">
        <f t="shared" si="1"/>
        <v>530000</v>
      </c>
      <c r="G22" s="56">
        <f>SUM(E22*100/C22)</f>
        <v>0</v>
      </c>
    </row>
    <row r="23" spans="1:9" s="70" customFormat="1" x14ac:dyDescent="0.55000000000000004">
      <c r="A23" s="57">
        <v>17</v>
      </c>
      <c r="B23" s="58" t="s">
        <v>21</v>
      </c>
      <c r="C23" s="129">
        <f>30000+500000</f>
        <v>530000</v>
      </c>
      <c r="D23" s="129"/>
      <c r="E23" s="129"/>
      <c r="F23" s="136">
        <f t="shared" si="1"/>
        <v>530000</v>
      </c>
      <c r="G23" s="56">
        <f t="shared" si="0"/>
        <v>0</v>
      </c>
    </row>
    <row r="24" spans="1:9" s="70" customFormat="1" x14ac:dyDescent="0.55000000000000004">
      <c r="A24" s="57">
        <v>18</v>
      </c>
      <c r="B24" s="58" t="s">
        <v>22</v>
      </c>
      <c r="C24" s="129">
        <f>30000+500000+3178800+552800+24000000-6000000</f>
        <v>22261600</v>
      </c>
      <c r="D24" s="129">
        <v>3657800</v>
      </c>
      <c r="E24" s="129"/>
      <c r="F24" s="136">
        <f t="shared" si="1"/>
        <v>18603800</v>
      </c>
      <c r="G24" s="56">
        <f t="shared" si="0"/>
        <v>0</v>
      </c>
    </row>
    <row r="25" spans="1:9" s="70" customFormat="1" x14ac:dyDescent="0.55000000000000004">
      <c r="A25" s="57">
        <v>19</v>
      </c>
      <c r="B25" s="58" t="s">
        <v>23</v>
      </c>
      <c r="C25" s="129">
        <f>28580+500000+2234400</f>
        <v>2762980</v>
      </c>
      <c r="D25" s="129">
        <v>493720</v>
      </c>
      <c r="E25" s="129">
        <v>28580</v>
      </c>
      <c r="F25" s="136">
        <f t="shared" si="1"/>
        <v>2240680</v>
      </c>
      <c r="G25" s="56">
        <v>0</v>
      </c>
    </row>
    <row r="26" spans="1:9" s="70" customFormat="1" x14ac:dyDescent="0.55000000000000004">
      <c r="A26" s="57">
        <v>20</v>
      </c>
      <c r="B26" s="58" t="s">
        <v>24</v>
      </c>
      <c r="C26" s="129">
        <f>62528500+30000+500000+4321500+11631300+3745000+35235400-11631300-3745000-8808800</f>
        <v>93806600</v>
      </c>
      <c r="D26" s="129">
        <v>718290</v>
      </c>
      <c r="E26" s="129">
        <v>66161710</v>
      </c>
      <c r="F26" s="136">
        <f t="shared" si="1"/>
        <v>26926600</v>
      </c>
      <c r="G26" s="56">
        <f t="shared" si="0"/>
        <v>70.529909409359263</v>
      </c>
    </row>
    <row r="27" spans="1:9" s="70" customFormat="1" x14ac:dyDescent="0.55000000000000004">
      <c r="A27" s="57">
        <v>21</v>
      </c>
      <c r="B27" s="58" t="s">
        <v>25</v>
      </c>
      <c r="C27" s="129">
        <f>30000+500000</f>
        <v>530000</v>
      </c>
      <c r="D27" s="129"/>
      <c r="E27" s="129">
        <v>30000</v>
      </c>
      <c r="F27" s="136">
        <f t="shared" si="1"/>
        <v>500000</v>
      </c>
      <c r="G27" s="56">
        <v>0</v>
      </c>
    </row>
    <row r="28" spans="1:9" s="70" customFormat="1" x14ac:dyDescent="0.55000000000000004">
      <c r="A28" s="57">
        <v>22</v>
      </c>
      <c r="B28" s="58" t="s">
        <v>26</v>
      </c>
      <c r="C28" s="129">
        <f>30000+500000+3877100+7613000+5226000+12599500-3877100-7613000-5226000-12599500</f>
        <v>530000</v>
      </c>
      <c r="D28" s="129"/>
      <c r="E28" s="129"/>
      <c r="F28" s="136">
        <f t="shared" si="1"/>
        <v>530000</v>
      </c>
      <c r="G28" s="56">
        <f t="shared" si="0"/>
        <v>0</v>
      </c>
    </row>
    <row r="29" spans="1:9" s="70" customFormat="1" x14ac:dyDescent="0.55000000000000004">
      <c r="A29" s="57">
        <v>23</v>
      </c>
      <c r="B29" s="58" t="s">
        <v>27</v>
      </c>
      <c r="C29" s="129">
        <f>30000+500000+3155000+1070000+3877100</f>
        <v>8632100</v>
      </c>
      <c r="D29" s="129">
        <v>3079000</v>
      </c>
      <c r="E29" s="129">
        <v>30000</v>
      </c>
      <c r="F29" s="136">
        <f t="shared" si="1"/>
        <v>5523100</v>
      </c>
      <c r="G29" s="56">
        <f t="shared" si="0"/>
        <v>0.34753999606121339</v>
      </c>
    </row>
    <row r="30" spans="1:9" s="70" customFormat="1" x14ac:dyDescent="0.55000000000000004">
      <c r="A30" s="57">
        <v>24</v>
      </c>
      <c r="B30" s="58" t="s">
        <v>28</v>
      </c>
      <c r="C30" s="129">
        <f>30000+500000+3877100-3877100</f>
        <v>530000</v>
      </c>
      <c r="D30" s="129"/>
      <c r="E30" s="129">
        <v>30000</v>
      </c>
      <c r="F30" s="136">
        <f t="shared" si="1"/>
        <v>500000</v>
      </c>
      <c r="G30" s="56">
        <f t="shared" si="0"/>
        <v>5.6603773584905657</v>
      </c>
    </row>
    <row r="31" spans="1:9" s="70" customFormat="1" x14ac:dyDescent="0.55000000000000004">
      <c r="A31" s="57">
        <v>25</v>
      </c>
      <c r="B31" s="58" t="s">
        <v>29</v>
      </c>
      <c r="C31" s="129">
        <f t="shared" ref="C31:C34" si="4">30000+500000</f>
        <v>530000</v>
      </c>
      <c r="D31" s="129">
        <v>499500</v>
      </c>
      <c r="E31" s="129">
        <v>30000</v>
      </c>
      <c r="F31" s="136">
        <f t="shared" si="1"/>
        <v>500</v>
      </c>
      <c r="G31" s="56">
        <f t="shared" si="0"/>
        <v>5.6603773584905657</v>
      </c>
    </row>
    <row r="32" spans="1:9" s="70" customFormat="1" x14ac:dyDescent="0.55000000000000004">
      <c r="A32" s="57">
        <v>26</v>
      </c>
      <c r="B32" s="58" t="s">
        <v>30</v>
      </c>
      <c r="C32" s="129">
        <f>30000+500000+393000</f>
        <v>923000</v>
      </c>
      <c r="D32" s="129">
        <v>393000</v>
      </c>
      <c r="E32" s="129"/>
      <c r="F32" s="136">
        <f t="shared" si="1"/>
        <v>530000</v>
      </c>
      <c r="G32" s="56">
        <f t="shared" si="0"/>
        <v>0</v>
      </c>
    </row>
    <row r="33" spans="1:7" s="70" customFormat="1" x14ac:dyDescent="0.55000000000000004">
      <c r="A33" s="57">
        <v>27</v>
      </c>
      <c r="B33" s="58" t="s">
        <v>31</v>
      </c>
      <c r="C33" s="129">
        <f>30000+500000+877000+3877100+2496500-3877100-2496500</f>
        <v>1407000</v>
      </c>
      <c r="D33" s="129">
        <v>485000</v>
      </c>
      <c r="E33" s="129"/>
      <c r="F33" s="136">
        <f t="shared" si="1"/>
        <v>922000</v>
      </c>
      <c r="G33" s="56">
        <f t="shared" si="0"/>
        <v>0</v>
      </c>
    </row>
    <row r="34" spans="1:7" s="70" customFormat="1" x14ac:dyDescent="0.55000000000000004">
      <c r="A34" s="57">
        <v>28</v>
      </c>
      <c r="B34" s="58" t="s">
        <v>32</v>
      </c>
      <c r="C34" s="129">
        <f t="shared" si="4"/>
        <v>530000</v>
      </c>
      <c r="D34" s="129"/>
      <c r="E34" s="129"/>
      <c r="F34" s="136">
        <f t="shared" si="1"/>
        <v>530000</v>
      </c>
      <c r="G34" s="56">
        <f t="shared" si="0"/>
        <v>0</v>
      </c>
    </row>
    <row r="35" spans="1:7" s="70" customFormat="1" x14ac:dyDescent="0.55000000000000004">
      <c r="A35" s="57">
        <v>29</v>
      </c>
      <c r="B35" s="58" t="s">
        <v>33</v>
      </c>
      <c r="C35" s="129">
        <f>30000+500000+3877100+3877100</f>
        <v>8284200</v>
      </c>
      <c r="D35" s="129">
        <v>30000</v>
      </c>
      <c r="E35" s="129"/>
      <c r="F35" s="136">
        <f t="shared" si="1"/>
        <v>8254200</v>
      </c>
      <c r="G35" s="56">
        <f t="shared" si="0"/>
        <v>0</v>
      </c>
    </row>
    <row r="36" spans="1:7" s="70" customFormat="1" x14ac:dyDescent="0.55000000000000004">
      <c r="A36" s="57">
        <v>30</v>
      </c>
      <c r="B36" s="58" t="s">
        <v>34</v>
      </c>
      <c r="C36" s="129">
        <f>30000+500000+3877100+3877100+1158000</f>
        <v>9442200</v>
      </c>
      <c r="D36" s="129"/>
      <c r="E36" s="129"/>
      <c r="F36" s="136">
        <f t="shared" si="1"/>
        <v>9442200</v>
      </c>
      <c r="G36" s="56">
        <f t="shared" si="0"/>
        <v>0</v>
      </c>
    </row>
    <row r="37" spans="1:7" s="70" customFormat="1" x14ac:dyDescent="0.55000000000000004">
      <c r="A37" s="57">
        <v>31</v>
      </c>
      <c r="B37" s="58" t="s">
        <v>35</v>
      </c>
      <c r="C37" s="129">
        <f>30000+500000+27684400-27684400</f>
        <v>530000</v>
      </c>
      <c r="D37" s="129">
        <v>498500</v>
      </c>
      <c r="E37" s="129">
        <v>30000</v>
      </c>
      <c r="F37" s="136">
        <f t="shared" si="1"/>
        <v>1500</v>
      </c>
      <c r="G37" s="56">
        <v>0</v>
      </c>
    </row>
    <row r="38" spans="1:7" s="70" customFormat="1" x14ac:dyDescent="0.55000000000000004">
      <c r="A38" s="57">
        <v>32</v>
      </c>
      <c r="B38" s="58" t="s">
        <v>36</v>
      </c>
      <c r="C38" s="129">
        <f>10539000+30000+500000+23439300+787200</f>
        <v>35295500</v>
      </c>
      <c r="D38" s="129">
        <v>4213343</v>
      </c>
      <c r="E38" s="129">
        <v>30463547</v>
      </c>
      <c r="F38" s="136">
        <f t="shared" si="1"/>
        <v>618610</v>
      </c>
      <c r="G38" s="56">
        <f t="shared" si="0"/>
        <v>86.310002691561252</v>
      </c>
    </row>
    <row r="39" spans="1:7" s="70" customFormat="1" x14ac:dyDescent="0.55000000000000004">
      <c r="A39" s="57">
        <v>33</v>
      </c>
      <c r="B39" s="58" t="s">
        <v>37</v>
      </c>
      <c r="C39" s="129">
        <f>25859700+30000+500000-11389912</f>
        <v>14999788</v>
      </c>
      <c r="D39" s="129"/>
      <c r="E39" s="129">
        <v>14469788</v>
      </c>
      <c r="F39" s="136">
        <f t="shared" si="1"/>
        <v>530000</v>
      </c>
      <c r="G39" s="56">
        <f t="shared" si="0"/>
        <v>96.466616728183098</v>
      </c>
    </row>
    <row r="40" spans="1:7" s="70" customFormat="1" x14ac:dyDescent="0.55000000000000004">
      <c r="A40" s="57">
        <v>34</v>
      </c>
      <c r="B40" s="58" t="s">
        <v>38</v>
      </c>
      <c r="C40" s="129">
        <f>30000+500000+3877100+3900000-3877100-3900000</f>
        <v>530000</v>
      </c>
      <c r="D40" s="129"/>
      <c r="E40" s="129"/>
      <c r="F40" s="136">
        <f t="shared" si="1"/>
        <v>530000</v>
      </c>
      <c r="G40" s="56">
        <v>0</v>
      </c>
    </row>
    <row r="41" spans="1:7" s="70" customFormat="1" x14ac:dyDescent="0.55000000000000004">
      <c r="A41" s="57">
        <v>35</v>
      </c>
      <c r="B41" s="58" t="s">
        <v>39</v>
      </c>
      <c r="C41" s="129">
        <f>30000+500000+3877100+3877100+3745000+12599500</f>
        <v>24628700</v>
      </c>
      <c r="D41" s="129">
        <v>30000</v>
      </c>
      <c r="E41" s="129"/>
      <c r="F41" s="136">
        <f t="shared" si="1"/>
        <v>24598700</v>
      </c>
      <c r="G41" s="56">
        <v>0</v>
      </c>
    </row>
    <row r="42" spans="1:7" s="70" customFormat="1" x14ac:dyDescent="0.55000000000000004">
      <c r="A42" s="57">
        <v>36</v>
      </c>
      <c r="B42" s="58" t="s">
        <v>40</v>
      </c>
      <c r="C42" s="129">
        <f>13841100+30000+500000+2710600+3877100</f>
        <v>20958800</v>
      </c>
      <c r="D42" s="129">
        <v>5023700</v>
      </c>
      <c r="E42" s="129">
        <v>11528000</v>
      </c>
      <c r="F42" s="136">
        <f t="shared" si="1"/>
        <v>4407100</v>
      </c>
      <c r="G42" s="56">
        <f t="shared" si="0"/>
        <v>55.003149035250111</v>
      </c>
    </row>
    <row r="43" spans="1:7" s="70" customFormat="1" x14ac:dyDescent="0.55000000000000004">
      <c r="A43" s="57">
        <v>37</v>
      </c>
      <c r="B43" s="58" t="s">
        <v>41</v>
      </c>
      <c r="C43" s="129">
        <f>30000+500000+3877100+11631300</f>
        <v>16038400</v>
      </c>
      <c r="D43" s="129">
        <v>13338000</v>
      </c>
      <c r="E43" s="129">
        <v>29214</v>
      </c>
      <c r="F43" s="136">
        <f t="shared" si="1"/>
        <v>2671186</v>
      </c>
      <c r="G43" s="56">
        <f t="shared" si="0"/>
        <v>0.18215033918595372</v>
      </c>
    </row>
    <row r="44" spans="1:7" s="70" customFormat="1" x14ac:dyDescent="0.55000000000000004">
      <c r="A44" s="57">
        <v>38</v>
      </c>
      <c r="B44" s="58" t="s">
        <v>42</v>
      </c>
      <c r="C44" s="129">
        <f>30000+500000+7000000</f>
        <v>7530000</v>
      </c>
      <c r="D44" s="129">
        <v>30000</v>
      </c>
      <c r="E44" s="129"/>
      <c r="F44" s="136">
        <f t="shared" si="1"/>
        <v>7500000</v>
      </c>
      <c r="G44" s="56">
        <f t="shared" si="0"/>
        <v>0</v>
      </c>
    </row>
    <row r="45" spans="1:7" s="70" customFormat="1" x14ac:dyDescent="0.55000000000000004">
      <c r="A45" s="57">
        <v>39</v>
      </c>
      <c r="B45" s="58" t="s">
        <v>43</v>
      </c>
      <c r="C45" s="129">
        <f>30000+500000+3877100-3877100</f>
        <v>530000</v>
      </c>
      <c r="D45" s="129"/>
      <c r="E45" s="129"/>
      <c r="F45" s="136">
        <f t="shared" si="1"/>
        <v>530000</v>
      </c>
      <c r="G45" s="56">
        <f t="shared" si="0"/>
        <v>0</v>
      </c>
    </row>
    <row r="46" spans="1:7" s="70" customFormat="1" x14ac:dyDescent="0.55000000000000004">
      <c r="A46" s="57">
        <v>40</v>
      </c>
      <c r="B46" s="58" t="s">
        <v>44</v>
      </c>
      <c r="C46" s="129">
        <f t="shared" ref="C46:C51" si="5">30000+500000</f>
        <v>530000</v>
      </c>
      <c r="D46" s="129"/>
      <c r="E46" s="129"/>
      <c r="F46" s="136">
        <f t="shared" si="1"/>
        <v>530000</v>
      </c>
      <c r="G46" s="56">
        <v>0</v>
      </c>
    </row>
    <row r="47" spans="1:7" s="70" customFormat="1" x14ac:dyDescent="0.55000000000000004">
      <c r="A47" s="57">
        <v>41</v>
      </c>
      <c r="B47" s="58" t="s">
        <v>45</v>
      </c>
      <c r="C47" s="129">
        <f>30000+500000+131423100-32855700</f>
        <v>99097400</v>
      </c>
      <c r="D47" s="129">
        <v>28500</v>
      </c>
      <c r="E47" s="129"/>
      <c r="F47" s="136">
        <f t="shared" si="1"/>
        <v>99068900</v>
      </c>
      <c r="G47" s="56">
        <v>0</v>
      </c>
    </row>
    <row r="48" spans="1:7" s="70" customFormat="1" x14ac:dyDescent="0.55000000000000004">
      <c r="A48" s="57">
        <v>42</v>
      </c>
      <c r="B48" s="58" t="s">
        <v>46</v>
      </c>
      <c r="C48" s="129">
        <f>30000+500000+3877100</f>
        <v>4407100</v>
      </c>
      <c r="D48" s="129"/>
      <c r="E48" s="129"/>
      <c r="F48" s="136">
        <f t="shared" si="1"/>
        <v>4407100</v>
      </c>
      <c r="G48" s="56">
        <f t="shared" si="0"/>
        <v>0</v>
      </c>
    </row>
    <row r="49" spans="1:7" s="70" customFormat="1" x14ac:dyDescent="0.55000000000000004">
      <c r="A49" s="57">
        <v>43</v>
      </c>
      <c r="B49" s="58" t="s">
        <v>47</v>
      </c>
      <c r="C49" s="129">
        <f t="shared" si="5"/>
        <v>530000</v>
      </c>
      <c r="D49" s="129"/>
      <c r="E49" s="129"/>
      <c r="F49" s="136">
        <f t="shared" si="1"/>
        <v>530000</v>
      </c>
      <c r="G49" s="56">
        <v>0</v>
      </c>
    </row>
    <row r="50" spans="1:7" s="70" customFormat="1" x14ac:dyDescent="0.55000000000000004">
      <c r="A50" s="57">
        <v>44</v>
      </c>
      <c r="B50" s="58" t="s">
        <v>48</v>
      </c>
      <c r="C50" s="129">
        <f>30000+500000+3877100+36160000-36160000</f>
        <v>4407100</v>
      </c>
      <c r="D50" s="129">
        <v>530000</v>
      </c>
      <c r="E50" s="129"/>
      <c r="F50" s="136">
        <f t="shared" si="1"/>
        <v>3877100</v>
      </c>
      <c r="G50" s="56">
        <v>0</v>
      </c>
    </row>
    <row r="51" spans="1:7" s="70" customFormat="1" x14ac:dyDescent="0.55000000000000004">
      <c r="A51" s="57">
        <v>45</v>
      </c>
      <c r="B51" s="58" t="s">
        <v>49</v>
      </c>
      <c r="C51" s="129">
        <f t="shared" si="5"/>
        <v>530000</v>
      </c>
      <c r="D51" s="129"/>
      <c r="E51" s="129"/>
      <c r="F51" s="136">
        <f t="shared" si="1"/>
        <v>530000</v>
      </c>
      <c r="G51" s="56">
        <f t="shared" si="0"/>
        <v>0</v>
      </c>
    </row>
    <row r="52" spans="1:7" s="70" customFormat="1" x14ac:dyDescent="0.55000000000000004">
      <c r="A52" s="57">
        <v>46</v>
      </c>
      <c r="B52" s="58" t="s">
        <v>50</v>
      </c>
      <c r="C52" s="129">
        <f>30000+500000+3831200</f>
        <v>4361200</v>
      </c>
      <c r="D52" s="129"/>
      <c r="E52" s="129"/>
      <c r="F52" s="136">
        <f t="shared" si="1"/>
        <v>4361200</v>
      </c>
      <c r="G52" s="56">
        <f t="shared" si="0"/>
        <v>0</v>
      </c>
    </row>
    <row r="53" spans="1:7" s="70" customFormat="1" x14ac:dyDescent="0.55000000000000004">
      <c r="A53" s="57">
        <v>47</v>
      </c>
      <c r="B53" s="58" t="s">
        <v>51</v>
      </c>
      <c r="C53" s="129">
        <f>30000+500000+21920000</f>
        <v>22450000</v>
      </c>
      <c r="D53" s="129">
        <v>1418000</v>
      </c>
      <c r="E53" s="129"/>
      <c r="F53" s="136">
        <f t="shared" si="1"/>
        <v>21032000</v>
      </c>
      <c r="G53" s="56">
        <f t="shared" si="0"/>
        <v>0</v>
      </c>
    </row>
    <row r="54" spans="1:7" s="70" customFormat="1" x14ac:dyDescent="0.55000000000000004">
      <c r="A54" s="57">
        <v>48</v>
      </c>
      <c r="B54" s="58" t="s">
        <v>52</v>
      </c>
      <c r="C54" s="129">
        <f>30000+500000+3317000-3317000</f>
        <v>530000</v>
      </c>
      <c r="D54" s="129">
        <v>500000</v>
      </c>
      <c r="E54" s="129"/>
      <c r="F54" s="136">
        <f t="shared" si="1"/>
        <v>30000</v>
      </c>
      <c r="G54" s="56">
        <f t="shared" si="0"/>
        <v>0</v>
      </c>
    </row>
    <row r="55" spans="1:7" s="70" customFormat="1" x14ac:dyDescent="0.55000000000000004">
      <c r="A55" s="57">
        <v>49</v>
      </c>
      <c r="B55" s="58" t="s">
        <v>53</v>
      </c>
      <c r="C55" s="129">
        <f>12178700+30000+500000+3877100-3877100</f>
        <v>12708700</v>
      </c>
      <c r="D55" s="129">
        <v>528000</v>
      </c>
      <c r="E55" s="129">
        <v>12178700</v>
      </c>
      <c r="F55" s="136">
        <f t="shared" si="1"/>
        <v>2000</v>
      </c>
      <c r="G55" s="56">
        <f t="shared" si="0"/>
        <v>95.82962852219346</v>
      </c>
    </row>
    <row r="56" spans="1:7" s="70" customFormat="1" x14ac:dyDescent="0.55000000000000004">
      <c r="A56" s="57">
        <v>50</v>
      </c>
      <c r="B56" s="58" t="s">
        <v>54</v>
      </c>
      <c r="C56" s="129">
        <f>30000+500000+961000+12599500-12599500</f>
        <v>1491000</v>
      </c>
      <c r="D56" s="129">
        <v>30000</v>
      </c>
      <c r="E56" s="129"/>
      <c r="F56" s="136">
        <f t="shared" si="1"/>
        <v>1461000</v>
      </c>
      <c r="G56" s="56">
        <v>0</v>
      </c>
    </row>
    <row r="57" spans="1:7" s="70" customFormat="1" x14ac:dyDescent="0.55000000000000004">
      <c r="A57" s="57">
        <v>51</v>
      </c>
      <c r="B57" s="58" t="s">
        <v>55</v>
      </c>
      <c r="C57" s="129">
        <f t="shared" ref="C57:C69" si="6">30000+500000</f>
        <v>530000</v>
      </c>
      <c r="D57" s="129">
        <v>499000</v>
      </c>
      <c r="E57" s="129"/>
      <c r="F57" s="136">
        <f t="shared" si="1"/>
        <v>31000</v>
      </c>
      <c r="G57" s="56">
        <f t="shared" si="0"/>
        <v>0</v>
      </c>
    </row>
    <row r="58" spans="1:7" s="70" customFormat="1" x14ac:dyDescent="0.55000000000000004">
      <c r="A58" s="57">
        <v>52</v>
      </c>
      <c r="B58" s="58" t="s">
        <v>56</v>
      </c>
      <c r="C58" s="129">
        <f t="shared" si="6"/>
        <v>530000</v>
      </c>
      <c r="D58" s="129">
        <v>496000</v>
      </c>
      <c r="E58" s="129"/>
      <c r="F58" s="136">
        <f t="shared" si="1"/>
        <v>34000</v>
      </c>
      <c r="G58" s="56">
        <f t="shared" si="0"/>
        <v>0</v>
      </c>
    </row>
    <row r="59" spans="1:7" s="70" customFormat="1" x14ac:dyDescent="0.55000000000000004">
      <c r="A59" s="57">
        <v>53</v>
      </c>
      <c r="B59" s="58" t="s">
        <v>57</v>
      </c>
      <c r="C59" s="129">
        <f>30000+499145+3877100+5368000+3745000+508000</f>
        <v>14027245</v>
      </c>
      <c r="D59" s="129"/>
      <c r="E59" s="129"/>
      <c r="F59" s="136">
        <f t="shared" si="1"/>
        <v>14027245</v>
      </c>
      <c r="G59" s="56">
        <f t="shared" si="0"/>
        <v>0</v>
      </c>
    </row>
    <row r="60" spans="1:7" s="70" customFormat="1" x14ac:dyDescent="0.55000000000000004">
      <c r="A60" s="57">
        <v>54</v>
      </c>
      <c r="B60" s="58" t="s">
        <v>58</v>
      </c>
      <c r="C60" s="129">
        <f t="shared" si="6"/>
        <v>530000</v>
      </c>
      <c r="D60" s="129"/>
      <c r="E60" s="129"/>
      <c r="F60" s="136">
        <f t="shared" si="1"/>
        <v>530000</v>
      </c>
      <c r="G60" s="56">
        <f t="shared" si="0"/>
        <v>0</v>
      </c>
    </row>
    <row r="61" spans="1:7" s="70" customFormat="1" x14ac:dyDescent="0.55000000000000004">
      <c r="A61" s="57">
        <v>55</v>
      </c>
      <c r="B61" s="58" t="s">
        <v>59</v>
      </c>
      <c r="C61" s="129">
        <f>30000+500000+469700+3877100-3877100</f>
        <v>999700</v>
      </c>
      <c r="D61" s="129"/>
      <c r="E61" s="129">
        <v>141300</v>
      </c>
      <c r="F61" s="136">
        <f t="shared" si="1"/>
        <v>858400</v>
      </c>
      <c r="G61" s="56">
        <v>0</v>
      </c>
    </row>
    <row r="62" spans="1:7" s="70" customFormat="1" x14ac:dyDescent="0.55000000000000004">
      <c r="A62" s="57">
        <v>56</v>
      </c>
      <c r="B62" s="58" t="s">
        <v>60</v>
      </c>
      <c r="C62" s="129">
        <f t="shared" si="6"/>
        <v>530000</v>
      </c>
      <c r="D62" s="129"/>
      <c r="E62" s="129"/>
      <c r="F62" s="136">
        <f t="shared" si="1"/>
        <v>530000</v>
      </c>
      <c r="G62" s="56">
        <f t="shared" si="0"/>
        <v>0</v>
      </c>
    </row>
    <row r="63" spans="1:7" s="70" customFormat="1" x14ac:dyDescent="0.55000000000000004">
      <c r="A63" s="57">
        <v>57</v>
      </c>
      <c r="B63" s="58" t="s">
        <v>61</v>
      </c>
      <c r="C63" s="129">
        <f>30000+500000+5984000+3877100-5984000</f>
        <v>4407100</v>
      </c>
      <c r="D63" s="129">
        <v>30000</v>
      </c>
      <c r="E63" s="129"/>
      <c r="F63" s="136">
        <f t="shared" si="1"/>
        <v>4377100</v>
      </c>
      <c r="G63" s="56">
        <f t="shared" si="0"/>
        <v>0</v>
      </c>
    </row>
    <row r="64" spans="1:7" s="70" customFormat="1" x14ac:dyDescent="0.55000000000000004">
      <c r="A64" s="57">
        <v>58</v>
      </c>
      <c r="B64" s="58" t="s">
        <v>62</v>
      </c>
      <c r="C64" s="129">
        <f t="shared" si="6"/>
        <v>530000</v>
      </c>
      <c r="D64" s="129"/>
      <c r="E64" s="129"/>
      <c r="F64" s="136">
        <f t="shared" si="1"/>
        <v>530000</v>
      </c>
      <c r="G64" s="56">
        <f t="shared" si="0"/>
        <v>0</v>
      </c>
    </row>
    <row r="65" spans="1:7" s="70" customFormat="1" x14ac:dyDescent="0.55000000000000004">
      <c r="A65" s="57">
        <v>59</v>
      </c>
      <c r="B65" s="58" t="s">
        <v>63</v>
      </c>
      <c r="C65" s="129">
        <f>30000+500000+3877100</f>
        <v>4407100</v>
      </c>
      <c r="D65" s="129"/>
      <c r="E65" s="129"/>
      <c r="F65" s="136">
        <f t="shared" si="1"/>
        <v>4407100</v>
      </c>
      <c r="G65" s="56">
        <f t="shared" si="0"/>
        <v>0</v>
      </c>
    </row>
    <row r="66" spans="1:7" s="70" customFormat="1" x14ac:dyDescent="0.55000000000000004">
      <c r="A66" s="57">
        <v>60</v>
      </c>
      <c r="B66" s="58" t="s">
        <v>64</v>
      </c>
      <c r="C66" s="129">
        <f t="shared" si="6"/>
        <v>530000</v>
      </c>
      <c r="D66" s="129"/>
      <c r="E66" s="129"/>
      <c r="F66" s="136">
        <f t="shared" si="1"/>
        <v>530000</v>
      </c>
      <c r="G66" s="56">
        <f t="shared" si="0"/>
        <v>0</v>
      </c>
    </row>
    <row r="67" spans="1:7" s="70" customFormat="1" x14ac:dyDescent="0.55000000000000004">
      <c r="A67" s="57">
        <v>61</v>
      </c>
      <c r="B67" s="58" t="s">
        <v>65</v>
      </c>
      <c r="C67" s="129">
        <f>30000+500000+10000000</f>
        <v>10530000</v>
      </c>
      <c r="D67" s="129">
        <v>8662756.0199999996</v>
      </c>
      <c r="E67" s="129">
        <v>1107133.4099999999</v>
      </c>
      <c r="F67" s="136">
        <f t="shared" si="1"/>
        <v>760110.57000000053</v>
      </c>
      <c r="G67" s="56">
        <f t="shared" si="0"/>
        <v>10.514087464387464</v>
      </c>
    </row>
    <row r="68" spans="1:7" s="70" customFormat="1" x14ac:dyDescent="0.55000000000000004">
      <c r="A68" s="57">
        <v>62</v>
      </c>
      <c r="B68" s="58" t="s">
        <v>66</v>
      </c>
      <c r="C68" s="129">
        <f>30000+500000+3877100-3877100</f>
        <v>530000</v>
      </c>
      <c r="D68" s="129"/>
      <c r="E68" s="129">
        <v>30000</v>
      </c>
      <c r="F68" s="136">
        <f t="shared" si="1"/>
        <v>500000</v>
      </c>
      <c r="G68" s="56">
        <f t="shared" si="0"/>
        <v>5.6603773584905657</v>
      </c>
    </row>
    <row r="69" spans="1:7" s="70" customFormat="1" x14ac:dyDescent="0.55000000000000004">
      <c r="A69" s="57">
        <v>63</v>
      </c>
      <c r="B69" s="58" t="s">
        <v>67</v>
      </c>
      <c r="C69" s="129">
        <f t="shared" si="6"/>
        <v>530000</v>
      </c>
      <c r="D69" s="129">
        <v>30000</v>
      </c>
      <c r="E69" s="129"/>
      <c r="F69" s="136">
        <f t="shared" si="1"/>
        <v>500000</v>
      </c>
      <c r="G69" s="56">
        <f t="shared" si="0"/>
        <v>0</v>
      </c>
    </row>
    <row r="70" spans="1:7" s="70" customFormat="1" x14ac:dyDescent="0.55000000000000004">
      <c r="A70" s="57">
        <v>64</v>
      </c>
      <c r="B70" s="58" t="s">
        <v>68</v>
      </c>
      <c r="C70" s="129">
        <f>30000+500000+3877100+10315800</f>
        <v>14722900</v>
      </c>
      <c r="D70" s="129"/>
      <c r="E70" s="129"/>
      <c r="F70" s="136">
        <f t="shared" si="1"/>
        <v>14722900</v>
      </c>
      <c r="G70" s="56">
        <v>0</v>
      </c>
    </row>
    <row r="71" spans="1:7" s="70" customFormat="1" x14ac:dyDescent="0.55000000000000004">
      <c r="A71" s="57">
        <v>65</v>
      </c>
      <c r="B71" s="58" t="s">
        <v>69</v>
      </c>
      <c r="C71" s="129">
        <f>51488900+30000+500000+2856000+3745000+27060000-3745000-6765000-2856000</f>
        <v>72313900</v>
      </c>
      <c r="D71" s="129"/>
      <c r="E71" s="129">
        <v>51488900</v>
      </c>
      <c r="F71" s="136">
        <f t="shared" si="1"/>
        <v>20825000</v>
      </c>
      <c r="G71" s="56">
        <f t="shared" si="0"/>
        <v>71.201940429156778</v>
      </c>
    </row>
    <row r="72" spans="1:7" s="70" customFormat="1" x14ac:dyDescent="0.55000000000000004">
      <c r="A72" s="57">
        <v>66</v>
      </c>
      <c r="B72" s="58" t="s">
        <v>70</v>
      </c>
      <c r="C72" s="129">
        <f>30000+500000+3877100+332000+2700000-3877100-2700000</f>
        <v>862000</v>
      </c>
      <c r="D72" s="129">
        <v>332000</v>
      </c>
      <c r="E72" s="129"/>
      <c r="F72" s="136">
        <f t="shared" ref="F72:F82" si="7">SUM(C72-D72-E72)</f>
        <v>530000</v>
      </c>
      <c r="G72" s="56">
        <f t="shared" si="0"/>
        <v>0</v>
      </c>
    </row>
    <row r="73" spans="1:7" s="70" customFormat="1" x14ac:dyDescent="0.55000000000000004">
      <c r="A73" s="57">
        <v>67</v>
      </c>
      <c r="B73" s="58" t="s">
        <v>71</v>
      </c>
      <c r="C73" s="129">
        <f t="shared" ref="C73:C74" si="8">30000+500000</f>
        <v>530000</v>
      </c>
      <c r="D73" s="129">
        <v>500000</v>
      </c>
      <c r="E73" s="129"/>
      <c r="F73" s="136">
        <f t="shared" si="7"/>
        <v>30000</v>
      </c>
      <c r="G73" s="56">
        <f t="shared" si="0"/>
        <v>0</v>
      </c>
    </row>
    <row r="74" spans="1:7" s="70" customFormat="1" x14ac:dyDescent="0.55000000000000004">
      <c r="A74" s="57">
        <v>68</v>
      </c>
      <c r="B74" s="58" t="s">
        <v>72</v>
      </c>
      <c r="C74" s="129">
        <f t="shared" si="8"/>
        <v>530000</v>
      </c>
      <c r="D74" s="129">
        <v>496000</v>
      </c>
      <c r="E74" s="129">
        <v>30000</v>
      </c>
      <c r="F74" s="136">
        <f t="shared" si="7"/>
        <v>4000</v>
      </c>
      <c r="G74" s="56">
        <f t="shared" ref="G74:G82" si="9">SUM(E74*100/C74)</f>
        <v>5.6603773584905657</v>
      </c>
    </row>
    <row r="75" spans="1:7" s="70" customFormat="1" x14ac:dyDescent="0.55000000000000004">
      <c r="A75" s="57">
        <v>69</v>
      </c>
      <c r="B75" s="58" t="s">
        <v>73</v>
      </c>
      <c r="C75" s="129">
        <f>16093600+30000+500000+8046800+708600</f>
        <v>25379000</v>
      </c>
      <c r="D75" s="129">
        <v>6008252</v>
      </c>
      <c r="E75" s="129">
        <v>19370748</v>
      </c>
      <c r="F75" s="136">
        <f t="shared" si="7"/>
        <v>0</v>
      </c>
      <c r="G75" s="56">
        <f t="shared" si="9"/>
        <v>76.325891485086089</v>
      </c>
    </row>
    <row r="76" spans="1:7" s="70" customFormat="1" x14ac:dyDescent="0.55000000000000004">
      <c r="A76" s="57">
        <v>70</v>
      </c>
      <c r="B76" s="58" t="s">
        <v>74</v>
      </c>
      <c r="C76" s="129">
        <f>30000+500000</f>
        <v>530000</v>
      </c>
      <c r="D76" s="129">
        <v>397000</v>
      </c>
      <c r="E76" s="129"/>
      <c r="F76" s="136">
        <f t="shared" si="7"/>
        <v>133000</v>
      </c>
      <c r="G76" s="56">
        <f t="shared" si="9"/>
        <v>0</v>
      </c>
    </row>
    <row r="77" spans="1:7" s="70" customFormat="1" x14ac:dyDescent="0.55000000000000004">
      <c r="A77" s="57">
        <v>71</v>
      </c>
      <c r="B77" s="58" t="s">
        <v>75</v>
      </c>
      <c r="C77" s="129">
        <f>25000+275000+30000+500000+9082000</f>
        <v>9912000</v>
      </c>
      <c r="D77" s="129"/>
      <c r="E77" s="129">
        <v>300000</v>
      </c>
      <c r="F77" s="136">
        <f t="shared" si="7"/>
        <v>9612000</v>
      </c>
      <c r="G77" s="56">
        <v>0</v>
      </c>
    </row>
    <row r="78" spans="1:7" s="70" customFormat="1" x14ac:dyDescent="0.55000000000000004">
      <c r="A78" s="57">
        <v>72</v>
      </c>
      <c r="B78" s="58" t="s">
        <v>76</v>
      </c>
      <c r="C78" s="129">
        <f>30000+500000</f>
        <v>530000</v>
      </c>
      <c r="D78" s="129">
        <v>30000</v>
      </c>
      <c r="E78" s="129"/>
      <c r="F78" s="136">
        <f t="shared" si="7"/>
        <v>500000</v>
      </c>
      <c r="G78" s="56">
        <f t="shared" si="9"/>
        <v>0</v>
      </c>
    </row>
    <row r="79" spans="1:7" s="70" customFormat="1" x14ac:dyDescent="0.55000000000000004">
      <c r="A79" s="57">
        <v>73</v>
      </c>
      <c r="B79" s="58" t="s">
        <v>77</v>
      </c>
      <c r="C79" s="129">
        <f>30000+500000+3745000+1850000</f>
        <v>6125000</v>
      </c>
      <c r="D79" s="129">
        <v>5560000</v>
      </c>
      <c r="E79" s="129"/>
      <c r="F79" s="136">
        <f t="shared" si="7"/>
        <v>565000</v>
      </c>
      <c r="G79" s="56">
        <f t="shared" si="9"/>
        <v>0</v>
      </c>
    </row>
    <row r="80" spans="1:7" s="70" customFormat="1" x14ac:dyDescent="0.55000000000000004">
      <c r="A80" s="57">
        <v>74</v>
      </c>
      <c r="B80" s="58" t="s">
        <v>78</v>
      </c>
      <c r="C80" s="129">
        <f>30000+500000+2119200</f>
        <v>2649200</v>
      </c>
      <c r="D80" s="129">
        <v>2619200</v>
      </c>
      <c r="E80" s="129">
        <v>30000</v>
      </c>
      <c r="F80" s="136">
        <f t="shared" si="7"/>
        <v>0</v>
      </c>
      <c r="G80" s="56">
        <f t="shared" si="9"/>
        <v>1.1324173335346519</v>
      </c>
    </row>
    <row r="81" spans="1:7" s="70" customFormat="1" x14ac:dyDescent="0.55000000000000004">
      <c r="A81" s="57">
        <v>75</v>
      </c>
      <c r="B81" s="58" t="s">
        <v>79</v>
      </c>
      <c r="C81" s="129">
        <f>14489200+11189500+30000+500000+874700</f>
        <v>27083400</v>
      </c>
      <c r="D81" s="129">
        <v>25678700</v>
      </c>
      <c r="E81" s="129"/>
      <c r="F81" s="136">
        <f t="shared" si="7"/>
        <v>1404700</v>
      </c>
      <c r="G81" s="56">
        <f t="shared" si="9"/>
        <v>0</v>
      </c>
    </row>
    <row r="82" spans="1:7" s="70" customFormat="1" x14ac:dyDescent="0.55000000000000004">
      <c r="A82" s="57">
        <v>76</v>
      </c>
      <c r="B82" s="58" t="s">
        <v>80</v>
      </c>
      <c r="C82" s="129">
        <f>30000+500000+9810000+6257000-9810000-6257000</f>
        <v>530000</v>
      </c>
      <c r="D82" s="129">
        <v>530000</v>
      </c>
      <c r="E82" s="129"/>
      <c r="F82" s="136">
        <f t="shared" si="7"/>
        <v>0</v>
      </c>
      <c r="G82" s="56">
        <f t="shared" si="9"/>
        <v>0</v>
      </c>
    </row>
    <row r="85" spans="1:7" x14ac:dyDescent="0.55000000000000004">
      <c r="D85" s="45"/>
      <c r="E85" s="45"/>
    </row>
  </sheetData>
  <sheetProtection selectLockedCells="1"/>
  <mergeCells count="5">
    <mergeCell ref="A4:A5"/>
    <mergeCell ref="B4:B5"/>
    <mergeCell ref="C4:G4"/>
    <mergeCell ref="A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82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ColWidth="9" defaultRowHeight="24" x14ac:dyDescent="0.55000000000000004"/>
  <cols>
    <col min="1" max="1" width="6.875" style="28" customWidth="1"/>
    <col min="2" max="2" width="15.625" style="44" customWidth="1"/>
    <col min="3" max="3" width="21.125" style="28" bestFit="1" customWidth="1"/>
    <col min="4" max="4" width="28.625" style="28" bestFit="1" customWidth="1"/>
    <col min="5" max="5" width="21.125" style="28" bestFit="1" customWidth="1"/>
    <col min="6" max="6" width="18.5" style="28" bestFit="1" customWidth="1"/>
    <col min="7" max="7" width="26" style="28" bestFit="1" customWidth="1"/>
    <col min="8" max="16384" width="9" style="28"/>
  </cols>
  <sheetData>
    <row r="1" spans="1:7" s="42" customFormat="1" ht="27.75" x14ac:dyDescent="0.65">
      <c r="A1" s="75" t="s">
        <v>137</v>
      </c>
      <c r="B1" s="75"/>
      <c r="C1" s="75"/>
      <c r="D1" s="75"/>
      <c r="E1" s="75"/>
      <c r="F1" s="75"/>
      <c r="G1" s="75"/>
    </row>
    <row r="2" spans="1:7" s="42" customFormat="1" ht="27.75" x14ac:dyDescent="0.65">
      <c r="A2" s="75" t="s">
        <v>136</v>
      </c>
      <c r="B2" s="75"/>
      <c r="C2" s="75"/>
      <c r="D2" s="75"/>
      <c r="E2" s="75"/>
      <c r="F2" s="75"/>
      <c r="G2" s="75"/>
    </row>
    <row r="3" spans="1:7" s="42" customFormat="1" x14ac:dyDescent="0.55000000000000004">
      <c r="A3" s="43"/>
      <c r="B3" s="43"/>
      <c r="C3" s="43"/>
      <c r="E3" s="43"/>
    </row>
    <row r="4" spans="1:7" ht="47.25" customHeight="1" x14ac:dyDescent="0.55000000000000004">
      <c r="A4" s="78" t="s">
        <v>0</v>
      </c>
      <c r="B4" s="78" t="s">
        <v>1</v>
      </c>
      <c r="C4" s="81" t="s">
        <v>132</v>
      </c>
      <c r="D4" s="82"/>
      <c r="E4" s="82"/>
      <c r="F4" s="82"/>
      <c r="G4" s="83"/>
    </row>
    <row r="5" spans="1:7" x14ac:dyDescent="0.55000000000000004">
      <c r="A5" s="79"/>
      <c r="B5" s="79"/>
      <c r="C5" s="29" t="s">
        <v>2</v>
      </c>
      <c r="D5" s="29" t="s">
        <v>111</v>
      </c>
      <c r="E5" s="29" t="s">
        <v>3</v>
      </c>
      <c r="F5" s="29" t="s">
        <v>4</v>
      </c>
      <c r="G5" s="29" t="s">
        <v>110</v>
      </c>
    </row>
    <row r="6" spans="1:7" x14ac:dyDescent="0.55000000000000004">
      <c r="A6" s="67" t="s">
        <v>82</v>
      </c>
      <c r="B6" s="68"/>
      <c r="C6" s="31">
        <f>SUM(C7:C82)</f>
        <v>2413100</v>
      </c>
      <c r="D6" s="31">
        <f>SUM(D7:D82)</f>
        <v>289230</v>
      </c>
      <c r="E6" s="31">
        <f>SUM(E7:E82)</f>
        <v>1519343.5</v>
      </c>
      <c r="F6" s="31">
        <f>SUM(C6-D6-E6)</f>
        <v>604526.5</v>
      </c>
      <c r="G6" s="36">
        <f t="shared" ref="G6:G37" si="0">SUM(E6*100/C6)</f>
        <v>62.96230989184037</v>
      </c>
    </row>
    <row r="7" spans="1:7" s="27" customFormat="1" x14ac:dyDescent="0.55000000000000004">
      <c r="A7" s="57">
        <v>1</v>
      </c>
      <c r="B7" s="58" t="s">
        <v>5</v>
      </c>
      <c r="C7" s="129">
        <f>20000</f>
        <v>20000</v>
      </c>
      <c r="D7" s="129"/>
      <c r="E7" s="129">
        <v>20000</v>
      </c>
      <c r="F7" s="129">
        <f>SUM(C7-D7-E7)</f>
        <v>0</v>
      </c>
      <c r="G7" s="137">
        <f t="shared" si="0"/>
        <v>100</v>
      </c>
    </row>
    <row r="8" spans="1:7" s="27" customFormat="1" x14ac:dyDescent="0.55000000000000004">
      <c r="A8" s="57">
        <v>2</v>
      </c>
      <c r="B8" s="58" t="s">
        <v>6</v>
      </c>
      <c r="C8" s="129">
        <f>20000</f>
        <v>20000</v>
      </c>
      <c r="D8" s="129"/>
      <c r="E8" s="129">
        <v>20000</v>
      </c>
      <c r="F8" s="129">
        <f t="shared" ref="F8:F71" si="1">SUM(C8-D8-E8)</f>
        <v>0</v>
      </c>
      <c r="G8" s="137">
        <f t="shared" si="0"/>
        <v>100</v>
      </c>
    </row>
    <row r="9" spans="1:7" s="27" customFormat="1" x14ac:dyDescent="0.55000000000000004">
      <c r="A9" s="57">
        <v>3</v>
      </c>
      <c r="B9" s="58" t="s">
        <v>7</v>
      </c>
      <c r="C9" s="129">
        <f>20000</f>
        <v>20000</v>
      </c>
      <c r="D9" s="129"/>
      <c r="E9" s="129">
        <v>20000</v>
      </c>
      <c r="F9" s="129">
        <f t="shared" si="1"/>
        <v>0</v>
      </c>
      <c r="G9" s="137">
        <f t="shared" si="0"/>
        <v>100</v>
      </c>
    </row>
    <row r="10" spans="1:7" s="27" customFormat="1" x14ac:dyDescent="0.55000000000000004">
      <c r="A10" s="57">
        <v>4</v>
      </c>
      <c r="B10" s="58" t="s">
        <v>8</v>
      </c>
      <c r="C10" s="129">
        <f>20000</f>
        <v>20000</v>
      </c>
      <c r="D10" s="129"/>
      <c r="E10" s="129">
        <v>20000</v>
      </c>
      <c r="F10" s="129">
        <f t="shared" si="1"/>
        <v>0</v>
      </c>
      <c r="G10" s="137">
        <f t="shared" si="0"/>
        <v>100</v>
      </c>
    </row>
    <row r="11" spans="1:7" s="27" customFormat="1" x14ac:dyDescent="0.55000000000000004">
      <c r="A11" s="57">
        <v>5</v>
      </c>
      <c r="B11" s="58" t="s">
        <v>9</v>
      </c>
      <c r="C11" s="129">
        <f>20000</f>
        <v>20000</v>
      </c>
      <c r="D11" s="129"/>
      <c r="E11" s="129">
        <v>20000</v>
      </c>
      <c r="F11" s="129">
        <f t="shared" si="1"/>
        <v>0</v>
      </c>
      <c r="G11" s="137">
        <f t="shared" si="0"/>
        <v>100</v>
      </c>
    </row>
    <row r="12" spans="1:7" s="27" customFormat="1" x14ac:dyDescent="0.55000000000000004">
      <c r="A12" s="57">
        <v>6</v>
      </c>
      <c r="B12" s="58" t="s">
        <v>10</v>
      </c>
      <c r="C12" s="129">
        <f>20000</f>
        <v>20000</v>
      </c>
      <c r="D12" s="129"/>
      <c r="E12" s="129">
        <v>20000</v>
      </c>
      <c r="F12" s="129">
        <f t="shared" si="1"/>
        <v>0</v>
      </c>
      <c r="G12" s="137">
        <f t="shared" si="0"/>
        <v>100</v>
      </c>
    </row>
    <row r="13" spans="1:7" s="27" customFormat="1" x14ac:dyDescent="0.55000000000000004">
      <c r="A13" s="57">
        <v>7</v>
      </c>
      <c r="B13" s="58" t="s">
        <v>11</v>
      </c>
      <c r="C13" s="129">
        <f>20000</f>
        <v>20000</v>
      </c>
      <c r="D13" s="129"/>
      <c r="E13" s="129">
        <v>20000</v>
      </c>
      <c r="F13" s="129">
        <f t="shared" si="1"/>
        <v>0</v>
      </c>
      <c r="G13" s="137">
        <f t="shared" si="0"/>
        <v>100</v>
      </c>
    </row>
    <row r="14" spans="1:7" s="27" customFormat="1" x14ac:dyDescent="0.55000000000000004">
      <c r="A14" s="57">
        <v>8</v>
      </c>
      <c r="B14" s="58" t="s">
        <v>12</v>
      </c>
      <c r="C14" s="129">
        <f>20000</f>
        <v>20000</v>
      </c>
      <c r="D14" s="129"/>
      <c r="E14" s="129">
        <v>20000</v>
      </c>
      <c r="F14" s="129">
        <f t="shared" si="1"/>
        <v>0</v>
      </c>
      <c r="G14" s="137">
        <f t="shared" si="0"/>
        <v>100</v>
      </c>
    </row>
    <row r="15" spans="1:7" s="27" customFormat="1" x14ac:dyDescent="0.55000000000000004">
      <c r="A15" s="57">
        <v>9</v>
      </c>
      <c r="B15" s="58" t="s">
        <v>13</v>
      </c>
      <c r="C15" s="129">
        <f>20000</f>
        <v>20000</v>
      </c>
      <c r="D15" s="129"/>
      <c r="E15" s="129">
        <v>20000</v>
      </c>
      <c r="F15" s="129">
        <f t="shared" si="1"/>
        <v>0</v>
      </c>
      <c r="G15" s="137">
        <f t="shared" si="0"/>
        <v>100</v>
      </c>
    </row>
    <row r="16" spans="1:7" s="27" customFormat="1" x14ac:dyDescent="0.55000000000000004">
      <c r="A16" s="57">
        <v>10</v>
      </c>
      <c r="B16" s="58" t="s">
        <v>14</v>
      </c>
      <c r="C16" s="129">
        <f>20000</f>
        <v>20000</v>
      </c>
      <c r="D16" s="129"/>
      <c r="E16" s="129">
        <v>20000</v>
      </c>
      <c r="F16" s="129">
        <f t="shared" si="1"/>
        <v>0</v>
      </c>
      <c r="G16" s="137">
        <f t="shared" si="0"/>
        <v>100</v>
      </c>
    </row>
    <row r="17" spans="1:7" s="27" customFormat="1" x14ac:dyDescent="0.55000000000000004">
      <c r="A17" s="57">
        <v>11</v>
      </c>
      <c r="B17" s="58" t="s">
        <v>15</v>
      </c>
      <c r="C17" s="129">
        <f>20000</f>
        <v>20000</v>
      </c>
      <c r="D17" s="129"/>
      <c r="E17" s="129">
        <v>20000</v>
      </c>
      <c r="F17" s="129">
        <f t="shared" si="1"/>
        <v>0</v>
      </c>
      <c r="G17" s="137">
        <f t="shared" si="0"/>
        <v>100</v>
      </c>
    </row>
    <row r="18" spans="1:7" s="27" customFormat="1" x14ac:dyDescent="0.55000000000000004">
      <c r="A18" s="57">
        <v>12</v>
      </c>
      <c r="B18" s="58" t="s">
        <v>16</v>
      </c>
      <c r="C18" s="129">
        <f>20000</f>
        <v>20000</v>
      </c>
      <c r="D18" s="129"/>
      <c r="E18" s="129">
        <v>20000</v>
      </c>
      <c r="F18" s="129">
        <f t="shared" si="1"/>
        <v>0</v>
      </c>
      <c r="G18" s="137">
        <f t="shared" si="0"/>
        <v>100</v>
      </c>
    </row>
    <row r="19" spans="1:7" s="27" customFormat="1" x14ac:dyDescent="0.55000000000000004">
      <c r="A19" s="57">
        <v>13</v>
      </c>
      <c r="B19" s="58" t="s">
        <v>17</v>
      </c>
      <c r="C19" s="129">
        <f>20000</f>
        <v>20000</v>
      </c>
      <c r="D19" s="129"/>
      <c r="E19" s="129">
        <v>20000</v>
      </c>
      <c r="F19" s="129">
        <f t="shared" si="1"/>
        <v>0</v>
      </c>
      <c r="G19" s="137">
        <f t="shared" si="0"/>
        <v>100</v>
      </c>
    </row>
    <row r="20" spans="1:7" s="27" customFormat="1" x14ac:dyDescent="0.55000000000000004">
      <c r="A20" s="57">
        <v>14</v>
      </c>
      <c r="B20" s="58" t="s">
        <v>18</v>
      </c>
      <c r="C20" s="129">
        <f>20000</f>
        <v>20000</v>
      </c>
      <c r="D20" s="129"/>
      <c r="E20" s="129">
        <v>20000</v>
      </c>
      <c r="F20" s="129">
        <f t="shared" si="1"/>
        <v>0</v>
      </c>
      <c r="G20" s="137">
        <f t="shared" si="0"/>
        <v>100</v>
      </c>
    </row>
    <row r="21" spans="1:7" s="27" customFormat="1" x14ac:dyDescent="0.55000000000000004">
      <c r="A21" s="57">
        <v>15</v>
      </c>
      <c r="B21" s="58" t="s">
        <v>19</v>
      </c>
      <c r="C21" s="129">
        <f>20000</f>
        <v>20000</v>
      </c>
      <c r="D21" s="129"/>
      <c r="E21" s="129">
        <v>20000</v>
      </c>
      <c r="F21" s="129">
        <f t="shared" si="1"/>
        <v>0</v>
      </c>
      <c r="G21" s="137">
        <f t="shared" si="0"/>
        <v>100</v>
      </c>
    </row>
    <row r="22" spans="1:7" s="27" customFormat="1" x14ac:dyDescent="0.55000000000000004">
      <c r="A22" s="57">
        <v>16</v>
      </c>
      <c r="B22" s="58" t="s">
        <v>20</v>
      </c>
      <c r="C22" s="129">
        <f>20000</f>
        <v>20000</v>
      </c>
      <c r="D22" s="129"/>
      <c r="E22" s="129">
        <v>20000</v>
      </c>
      <c r="F22" s="129">
        <f t="shared" si="1"/>
        <v>0</v>
      </c>
      <c r="G22" s="137">
        <f t="shared" si="0"/>
        <v>100</v>
      </c>
    </row>
    <row r="23" spans="1:7" s="27" customFormat="1" x14ac:dyDescent="0.55000000000000004">
      <c r="A23" s="57">
        <v>17</v>
      </c>
      <c r="B23" s="58" t="s">
        <v>21</v>
      </c>
      <c r="C23" s="129">
        <f>20000</f>
        <v>20000</v>
      </c>
      <c r="D23" s="129"/>
      <c r="E23" s="129">
        <v>20000</v>
      </c>
      <c r="F23" s="129">
        <f t="shared" si="1"/>
        <v>0</v>
      </c>
      <c r="G23" s="137">
        <f t="shared" si="0"/>
        <v>100</v>
      </c>
    </row>
    <row r="24" spans="1:7" s="27" customFormat="1" x14ac:dyDescent="0.55000000000000004">
      <c r="A24" s="57">
        <v>18</v>
      </c>
      <c r="B24" s="58" t="s">
        <v>22</v>
      </c>
      <c r="C24" s="129">
        <f>20000</f>
        <v>20000</v>
      </c>
      <c r="D24" s="129"/>
      <c r="E24" s="129">
        <v>20000</v>
      </c>
      <c r="F24" s="129">
        <f t="shared" si="1"/>
        <v>0</v>
      </c>
      <c r="G24" s="137">
        <f t="shared" si="0"/>
        <v>100</v>
      </c>
    </row>
    <row r="25" spans="1:7" s="27" customFormat="1" x14ac:dyDescent="0.55000000000000004">
      <c r="A25" s="57">
        <v>19</v>
      </c>
      <c r="B25" s="58" t="s">
        <v>23</v>
      </c>
      <c r="C25" s="129">
        <f>20000</f>
        <v>20000</v>
      </c>
      <c r="D25" s="129"/>
      <c r="E25" s="129">
        <v>20000</v>
      </c>
      <c r="F25" s="129">
        <f t="shared" si="1"/>
        <v>0</v>
      </c>
      <c r="G25" s="137">
        <f t="shared" si="0"/>
        <v>100</v>
      </c>
    </row>
    <row r="26" spans="1:7" s="27" customFormat="1" x14ac:dyDescent="0.55000000000000004">
      <c r="A26" s="57">
        <v>20</v>
      </c>
      <c r="B26" s="58" t="s">
        <v>24</v>
      </c>
      <c r="C26" s="129">
        <f>20000</f>
        <v>20000</v>
      </c>
      <c r="D26" s="129"/>
      <c r="E26" s="129">
        <v>20000</v>
      </c>
      <c r="F26" s="129">
        <f t="shared" si="1"/>
        <v>0</v>
      </c>
      <c r="G26" s="137">
        <f t="shared" si="0"/>
        <v>100</v>
      </c>
    </row>
    <row r="27" spans="1:7" s="27" customFormat="1" x14ac:dyDescent="0.55000000000000004">
      <c r="A27" s="57">
        <v>21</v>
      </c>
      <c r="B27" s="58" t="s">
        <v>25</v>
      </c>
      <c r="C27" s="129">
        <f>20000</f>
        <v>20000</v>
      </c>
      <c r="D27" s="129"/>
      <c r="E27" s="129">
        <v>20000</v>
      </c>
      <c r="F27" s="129">
        <f t="shared" si="1"/>
        <v>0</v>
      </c>
      <c r="G27" s="137">
        <f t="shared" si="0"/>
        <v>100</v>
      </c>
    </row>
    <row r="28" spans="1:7" s="27" customFormat="1" x14ac:dyDescent="0.55000000000000004">
      <c r="A28" s="57">
        <v>22</v>
      </c>
      <c r="B28" s="58" t="s">
        <v>26</v>
      </c>
      <c r="C28" s="129">
        <f>20000</f>
        <v>20000</v>
      </c>
      <c r="D28" s="129"/>
      <c r="E28" s="129">
        <v>20000</v>
      </c>
      <c r="F28" s="129">
        <f t="shared" si="1"/>
        <v>0</v>
      </c>
      <c r="G28" s="137">
        <f t="shared" si="0"/>
        <v>100</v>
      </c>
    </row>
    <row r="29" spans="1:7" s="27" customFormat="1" x14ac:dyDescent="0.55000000000000004">
      <c r="A29" s="57">
        <v>23</v>
      </c>
      <c r="B29" s="58" t="s">
        <v>27</v>
      </c>
      <c r="C29" s="129">
        <f>20000</f>
        <v>20000</v>
      </c>
      <c r="D29" s="129"/>
      <c r="E29" s="129">
        <v>19950</v>
      </c>
      <c r="F29" s="129">
        <f t="shared" si="1"/>
        <v>50</v>
      </c>
      <c r="G29" s="137">
        <f t="shared" si="0"/>
        <v>99.75</v>
      </c>
    </row>
    <row r="30" spans="1:7" s="27" customFormat="1" x14ac:dyDescent="0.55000000000000004">
      <c r="A30" s="57">
        <v>24</v>
      </c>
      <c r="B30" s="58" t="s">
        <v>28</v>
      </c>
      <c r="C30" s="129">
        <f>20000</f>
        <v>20000</v>
      </c>
      <c r="D30" s="129"/>
      <c r="E30" s="129">
        <v>20000</v>
      </c>
      <c r="F30" s="129">
        <f t="shared" si="1"/>
        <v>0</v>
      </c>
      <c r="G30" s="137">
        <f t="shared" si="0"/>
        <v>100</v>
      </c>
    </row>
    <row r="31" spans="1:7" s="27" customFormat="1" ht="19.899999999999999" customHeight="1" x14ac:dyDescent="0.55000000000000004">
      <c r="A31" s="57">
        <v>25</v>
      </c>
      <c r="B31" s="58" t="s">
        <v>29</v>
      </c>
      <c r="C31" s="129">
        <f>20000</f>
        <v>20000</v>
      </c>
      <c r="D31" s="129"/>
      <c r="E31" s="129">
        <v>20000</v>
      </c>
      <c r="F31" s="129">
        <f t="shared" si="1"/>
        <v>0</v>
      </c>
      <c r="G31" s="137">
        <f t="shared" si="0"/>
        <v>100</v>
      </c>
    </row>
    <row r="32" spans="1:7" s="27" customFormat="1" x14ac:dyDescent="0.55000000000000004">
      <c r="A32" s="57">
        <v>26</v>
      </c>
      <c r="B32" s="58" t="s">
        <v>30</v>
      </c>
      <c r="C32" s="129">
        <f>20000</f>
        <v>20000</v>
      </c>
      <c r="D32" s="129"/>
      <c r="E32" s="129">
        <v>20000</v>
      </c>
      <c r="F32" s="129">
        <f t="shared" si="1"/>
        <v>0</v>
      </c>
      <c r="G32" s="137">
        <f t="shared" si="0"/>
        <v>100</v>
      </c>
    </row>
    <row r="33" spans="1:7" s="27" customFormat="1" x14ac:dyDescent="0.55000000000000004">
      <c r="A33" s="57">
        <v>27</v>
      </c>
      <c r="B33" s="58" t="s">
        <v>31</v>
      </c>
      <c r="C33" s="129">
        <f>20000</f>
        <v>20000</v>
      </c>
      <c r="D33" s="129"/>
      <c r="E33" s="129">
        <v>20000</v>
      </c>
      <c r="F33" s="129">
        <f t="shared" si="1"/>
        <v>0</v>
      </c>
      <c r="G33" s="137">
        <f t="shared" si="0"/>
        <v>100</v>
      </c>
    </row>
    <row r="34" spans="1:7" s="27" customFormat="1" x14ac:dyDescent="0.55000000000000004">
      <c r="A34" s="57">
        <v>28</v>
      </c>
      <c r="B34" s="58" t="s">
        <v>32</v>
      </c>
      <c r="C34" s="129">
        <f>20000</f>
        <v>20000</v>
      </c>
      <c r="D34" s="129"/>
      <c r="E34" s="129">
        <v>20000</v>
      </c>
      <c r="F34" s="129">
        <f t="shared" si="1"/>
        <v>0</v>
      </c>
      <c r="G34" s="137">
        <f t="shared" si="0"/>
        <v>100</v>
      </c>
    </row>
    <row r="35" spans="1:7" s="27" customFormat="1" x14ac:dyDescent="0.55000000000000004">
      <c r="A35" s="57">
        <v>29</v>
      </c>
      <c r="B35" s="58" t="s">
        <v>33</v>
      </c>
      <c r="C35" s="129">
        <f>20000</f>
        <v>20000</v>
      </c>
      <c r="D35" s="129"/>
      <c r="E35" s="129">
        <v>20000</v>
      </c>
      <c r="F35" s="129">
        <f t="shared" si="1"/>
        <v>0</v>
      </c>
      <c r="G35" s="137">
        <f t="shared" si="0"/>
        <v>100</v>
      </c>
    </row>
    <row r="36" spans="1:7" s="27" customFormat="1" x14ac:dyDescent="0.55000000000000004">
      <c r="A36" s="57">
        <v>30</v>
      </c>
      <c r="B36" s="58" t="s">
        <v>34</v>
      </c>
      <c r="C36" s="129">
        <f>20000</f>
        <v>20000</v>
      </c>
      <c r="D36" s="129"/>
      <c r="E36" s="129">
        <v>20000</v>
      </c>
      <c r="F36" s="129">
        <f t="shared" si="1"/>
        <v>0</v>
      </c>
      <c r="G36" s="137">
        <f t="shared" si="0"/>
        <v>100</v>
      </c>
    </row>
    <row r="37" spans="1:7" s="27" customFormat="1" x14ac:dyDescent="0.55000000000000004">
      <c r="A37" s="57">
        <v>31</v>
      </c>
      <c r="B37" s="58" t="s">
        <v>35</v>
      </c>
      <c r="C37" s="129">
        <f>20000</f>
        <v>20000</v>
      </c>
      <c r="D37" s="129"/>
      <c r="E37" s="129">
        <v>20000</v>
      </c>
      <c r="F37" s="129">
        <f t="shared" si="1"/>
        <v>0</v>
      </c>
      <c r="G37" s="137">
        <f t="shared" si="0"/>
        <v>100</v>
      </c>
    </row>
    <row r="38" spans="1:7" s="27" customFormat="1" x14ac:dyDescent="0.55000000000000004">
      <c r="A38" s="57">
        <v>32</v>
      </c>
      <c r="B38" s="58" t="s">
        <v>36</v>
      </c>
      <c r="C38" s="129">
        <f>20000</f>
        <v>20000</v>
      </c>
      <c r="D38" s="129"/>
      <c r="E38" s="129">
        <v>20000</v>
      </c>
      <c r="F38" s="129">
        <f t="shared" si="1"/>
        <v>0</v>
      </c>
      <c r="G38" s="137">
        <f t="shared" ref="G38:G69" si="2">SUM(E38*100/C38)</f>
        <v>100</v>
      </c>
    </row>
    <row r="39" spans="1:7" s="27" customFormat="1" x14ac:dyDescent="0.55000000000000004">
      <c r="A39" s="57">
        <v>33</v>
      </c>
      <c r="B39" s="58" t="s">
        <v>37</v>
      </c>
      <c r="C39" s="129">
        <f>20000</f>
        <v>20000</v>
      </c>
      <c r="D39" s="129"/>
      <c r="E39" s="129">
        <v>20000</v>
      </c>
      <c r="F39" s="129">
        <f t="shared" si="1"/>
        <v>0</v>
      </c>
      <c r="G39" s="137">
        <f t="shared" si="2"/>
        <v>100</v>
      </c>
    </row>
    <row r="40" spans="1:7" s="27" customFormat="1" x14ac:dyDescent="0.55000000000000004">
      <c r="A40" s="57">
        <v>34</v>
      </c>
      <c r="B40" s="58" t="s">
        <v>38</v>
      </c>
      <c r="C40" s="129">
        <f>20000</f>
        <v>20000</v>
      </c>
      <c r="D40" s="129"/>
      <c r="E40" s="129">
        <v>20000</v>
      </c>
      <c r="F40" s="129">
        <f t="shared" si="1"/>
        <v>0</v>
      </c>
      <c r="G40" s="137">
        <f t="shared" si="2"/>
        <v>100</v>
      </c>
    </row>
    <row r="41" spans="1:7" s="27" customFormat="1" x14ac:dyDescent="0.55000000000000004">
      <c r="A41" s="57">
        <v>35</v>
      </c>
      <c r="B41" s="58" t="s">
        <v>39</v>
      </c>
      <c r="C41" s="129">
        <f>20000</f>
        <v>20000</v>
      </c>
      <c r="D41" s="129"/>
      <c r="E41" s="129">
        <v>20000</v>
      </c>
      <c r="F41" s="129">
        <f t="shared" si="1"/>
        <v>0</v>
      </c>
      <c r="G41" s="137">
        <f t="shared" si="2"/>
        <v>100</v>
      </c>
    </row>
    <row r="42" spans="1:7" s="27" customFormat="1" x14ac:dyDescent="0.55000000000000004">
      <c r="A42" s="57">
        <v>36</v>
      </c>
      <c r="B42" s="58" t="s">
        <v>40</v>
      </c>
      <c r="C42" s="129">
        <f>20000</f>
        <v>20000</v>
      </c>
      <c r="D42" s="129"/>
      <c r="E42" s="129">
        <v>20000</v>
      </c>
      <c r="F42" s="129">
        <f t="shared" si="1"/>
        <v>0</v>
      </c>
      <c r="G42" s="137">
        <f t="shared" si="2"/>
        <v>100</v>
      </c>
    </row>
    <row r="43" spans="1:7" s="27" customFormat="1" x14ac:dyDescent="0.55000000000000004">
      <c r="A43" s="57">
        <v>37</v>
      </c>
      <c r="B43" s="58" t="s">
        <v>41</v>
      </c>
      <c r="C43" s="129">
        <f>20000</f>
        <v>20000</v>
      </c>
      <c r="D43" s="129"/>
      <c r="E43" s="129">
        <v>20000</v>
      </c>
      <c r="F43" s="129">
        <f t="shared" si="1"/>
        <v>0</v>
      </c>
      <c r="G43" s="137">
        <f t="shared" si="2"/>
        <v>100</v>
      </c>
    </row>
    <row r="44" spans="1:7" s="27" customFormat="1" x14ac:dyDescent="0.55000000000000004">
      <c r="A44" s="57">
        <v>38</v>
      </c>
      <c r="B44" s="58" t="s">
        <v>42</v>
      </c>
      <c r="C44" s="129">
        <f>20000</f>
        <v>20000</v>
      </c>
      <c r="D44" s="129"/>
      <c r="E44" s="129">
        <v>20000</v>
      </c>
      <c r="F44" s="129">
        <f t="shared" si="1"/>
        <v>0</v>
      </c>
      <c r="G44" s="137">
        <f t="shared" si="2"/>
        <v>100</v>
      </c>
    </row>
    <row r="45" spans="1:7" s="27" customFormat="1" x14ac:dyDescent="0.55000000000000004">
      <c r="A45" s="57">
        <v>39</v>
      </c>
      <c r="B45" s="58" t="s">
        <v>43</v>
      </c>
      <c r="C45" s="129">
        <f>20000</f>
        <v>20000</v>
      </c>
      <c r="D45" s="129"/>
      <c r="E45" s="129">
        <v>20000</v>
      </c>
      <c r="F45" s="129">
        <f t="shared" si="1"/>
        <v>0</v>
      </c>
      <c r="G45" s="137">
        <f t="shared" si="2"/>
        <v>100</v>
      </c>
    </row>
    <row r="46" spans="1:7" s="27" customFormat="1" x14ac:dyDescent="0.55000000000000004">
      <c r="A46" s="57">
        <v>40</v>
      </c>
      <c r="B46" s="58" t="s">
        <v>44</v>
      </c>
      <c r="C46" s="129">
        <f>20000</f>
        <v>20000</v>
      </c>
      <c r="D46" s="129"/>
      <c r="E46" s="129">
        <v>20000</v>
      </c>
      <c r="F46" s="129">
        <f t="shared" si="1"/>
        <v>0</v>
      </c>
      <c r="G46" s="137">
        <f t="shared" si="2"/>
        <v>100</v>
      </c>
    </row>
    <row r="47" spans="1:7" s="27" customFormat="1" x14ac:dyDescent="0.55000000000000004">
      <c r="A47" s="57">
        <v>41</v>
      </c>
      <c r="B47" s="58" t="s">
        <v>45</v>
      </c>
      <c r="C47" s="129">
        <f>20000</f>
        <v>20000</v>
      </c>
      <c r="D47" s="129"/>
      <c r="E47" s="129">
        <v>20000</v>
      </c>
      <c r="F47" s="129">
        <f t="shared" si="1"/>
        <v>0</v>
      </c>
      <c r="G47" s="137">
        <f t="shared" si="2"/>
        <v>100</v>
      </c>
    </row>
    <row r="48" spans="1:7" s="27" customFormat="1" x14ac:dyDescent="0.55000000000000004">
      <c r="A48" s="57">
        <v>42</v>
      </c>
      <c r="B48" s="58" t="s">
        <v>46</v>
      </c>
      <c r="C48" s="129">
        <f>20000</f>
        <v>20000</v>
      </c>
      <c r="D48" s="129"/>
      <c r="E48" s="129">
        <v>20000</v>
      </c>
      <c r="F48" s="129">
        <f t="shared" si="1"/>
        <v>0</v>
      </c>
      <c r="G48" s="137">
        <f t="shared" si="2"/>
        <v>100</v>
      </c>
    </row>
    <row r="49" spans="1:7" s="27" customFormat="1" x14ac:dyDescent="0.55000000000000004">
      <c r="A49" s="57">
        <v>43</v>
      </c>
      <c r="B49" s="58" t="s">
        <v>47</v>
      </c>
      <c r="C49" s="129">
        <f>20000</f>
        <v>20000</v>
      </c>
      <c r="D49" s="129"/>
      <c r="E49" s="129">
        <v>20000</v>
      </c>
      <c r="F49" s="129">
        <f t="shared" si="1"/>
        <v>0</v>
      </c>
      <c r="G49" s="137">
        <f t="shared" si="2"/>
        <v>100</v>
      </c>
    </row>
    <row r="50" spans="1:7" s="27" customFormat="1" x14ac:dyDescent="0.55000000000000004">
      <c r="A50" s="57">
        <v>44</v>
      </c>
      <c r="B50" s="58" t="s">
        <v>48</v>
      </c>
      <c r="C50" s="129">
        <f>20000</f>
        <v>20000</v>
      </c>
      <c r="D50" s="129"/>
      <c r="E50" s="129">
        <v>20000</v>
      </c>
      <c r="F50" s="129">
        <f t="shared" si="1"/>
        <v>0</v>
      </c>
      <c r="G50" s="137">
        <f t="shared" si="2"/>
        <v>100</v>
      </c>
    </row>
    <row r="51" spans="1:7" s="27" customFormat="1" x14ac:dyDescent="0.55000000000000004">
      <c r="A51" s="57">
        <v>45</v>
      </c>
      <c r="B51" s="58" t="s">
        <v>49</v>
      </c>
      <c r="C51" s="129">
        <f>20000</f>
        <v>20000</v>
      </c>
      <c r="D51" s="129"/>
      <c r="E51" s="129">
        <v>20000</v>
      </c>
      <c r="F51" s="129">
        <f t="shared" si="1"/>
        <v>0</v>
      </c>
      <c r="G51" s="137">
        <f t="shared" si="2"/>
        <v>100</v>
      </c>
    </row>
    <row r="52" spans="1:7" s="27" customFormat="1" x14ac:dyDescent="0.55000000000000004">
      <c r="A52" s="57">
        <v>46</v>
      </c>
      <c r="B52" s="58" t="s">
        <v>50</v>
      </c>
      <c r="C52" s="129">
        <f>20000</f>
        <v>20000</v>
      </c>
      <c r="D52" s="129"/>
      <c r="E52" s="129">
        <v>20000</v>
      </c>
      <c r="F52" s="129">
        <f t="shared" si="1"/>
        <v>0</v>
      </c>
      <c r="G52" s="137">
        <f t="shared" si="2"/>
        <v>100</v>
      </c>
    </row>
    <row r="53" spans="1:7" s="27" customFormat="1" x14ac:dyDescent="0.55000000000000004">
      <c r="A53" s="57">
        <v>47</v>
      </c>
      <c r="B53" s="58" t="s">
        <v>51</v>
      </c>
      <c r="C53" s="129">
        <f>20000</f>
        <v>20000</v>
      </c>
      <c r="D53" s="129"/>
      <c r="E53" s="129">
        <v>20000</v>
      </c>
      <c r="F53" s="129">
        <f t="shared" si="1"/>
        <v>0</v>
      </c>
      <c r="G53" s="137">
        <f t="shared" si="2"/>
        <v>100</v>
      </c>
    </row>
    <row r="54" spans="1:7" s="27" customFormat="1" x14ac:dyDescent="0.55000000000000004">
      <c r="A54" s="57">
        <v>48</v>
      </c>
      <c r="B54" s="58" t="s">
        <v>52</v>
      </c>
      <c r="C54" s="129">
        <f>20000</f>
        <v>20000</v>
      </c>
      <c r="D54" s="129"/>
      <c r="E54" s="129">
        <v>19995</v>
      </c>
      <c r="F54" s="129">
        <f t="shared" si="1"/>
        <v>5</v>
      </c>
      <c r="G54" s="137">
        <f t="shared" si="2"/>
        <v>99.974999999999994</v>
      </c>
    </row>
    <row r="55" spans="1:7" s="27" customFormat="1" x14ac:dyDescent="0.55000000000000004">
      <c r="A55" s="57">
        <v>49</v>
      </c>
      <c r="B55" s="58" t="s">
        <v>53</v>
      </c>
      <c r="C55" s="129">
        <f>20000</f>
        <v>20000</v>
      </c>
      <c r="D55" s="129"/>
      <c r="E55" s="129">
        <v>20000</v>
      </c>
      <c r="F55" s="129">
        <f t="shared" si="1"/>
        <v>0</v>
      </c>
      <c r="G55" s="137">
        <f t="shared" si="2"/>
        <v>100</v>
      </c>
    </row>
    <row r="56" spans="1:7" s="27" customFormat="1" x14ac:dyDescent="0.55000000000000004">
      <c r="A56" s="57">
        <v>50</v>
      </c>
      <c r="B56" s="58" t="s">
        <v>54</v>
      </c>
      <c r="C56" s="129">
        <f>20000</f>
        <v>20000</v>
      </c>
      <c r="D56" s="129"/>
      <c r="E56" s="129">
        <v>20000</v>
      </c>
      <c r="F56" s="129">
        <f t="shared" si="1"/>
        <v>0</v>
      </c>
      <c r="G56" s="137">
        <f t="shared" si="2"/>
        <v>100</v>
      </c>
    </row>
    <row r="57" spans="1:7" s="27" customFormat="1" x14ac:dyDescent="0.55000000000000004">
      <c r="A57" s="57">
        <v>51</v>
      </c>
      <c r="B57" s="58" t="s">
        <v>55</v>
      </c>
      <c r="C57" s="129">
        <f>20000</f>
        <v>20000</v>
      </c>
      <c r="D57" s="129"/>
      <c r="E57" s="129">
        <v>20000</v>
      </c>
      <c r="F57" s="129">
        <f t="shared" si="1"/>
        <v>0</v>
      </c>
      <c r="G57" s="137">
        <f t="shared" si="2"/>
        <v>100</v>
      </c>
    </row>
    <row r="58" spans="1:7" s="27" customFormat="1" x14ac:dyDescent="0.55000000000000004">
      <c r="A58" s="57">
        <v>52</v>
      </c>
      <c r="B58" s="58" t="s">
        <v>56</v>
      </c>
      <c r="C58" s="129">
        <f>20000</f>
        <v>20000</v>
      </c>
      <c r="D58" s="129"/>
      <c r="E58" s="129">
        <v>19399</v>
      </c>
      <c r="F58" s="129">
        <f t="shared" si="1"/>
        <v>601</v>
      </c>
      <c r="G58" s="137">
        <f t="shared" si="2"/>
        <v>96.995000000000005</v>
      </c>
    </row>
    <row r="59" spans="1:7" s="27" customFormat="1" x14ac:dyDescent="0.55000000000000004">
      <c r="A59" s="57">
        <v>53</v>
      </c>
      <c r="B59" s="58" t="s">
        <v>57</v>
      </c>
      <c r="C59" s="129">
        <f>20000</f>
        <v>20000</v>
      </c>
      <c r="D59" s="129"/>
      <c r="E59" s="129">
        <v>20000</v>
      </c>
      <c r="F59" s="129">
        <f t="shared" si="1"/>
        <v>0</v>
      </c>
      <c r="G59" s="137">
        <f t="shared" si="2"/>
        <v>100</v>
      </c>
    </row>
    <row r="60" spans="1:7" s="27" customFormat="1" x14ac:dyDescent="0.55000000000000004">
      <c r="A60" s="57">
        <v>54</v>
      </c>
      <c r="B60" s="58" t="s">
        <v>58</v>
      </c>
      <c r="C60" s="129">
        <f>20000</f>
        <v>20000</v>
      </c>
      <c r="D60" s="129"/>
      <c r="E60" s="129">
        <v>20000</v>
      </c>
      <c r="F60" s="129">
        <f t="shared" si="1"/>
        <v>0</v>
      </c>
      <c r="G60" s="137">
        <f t="shared" si="2"/>
        <v>100</v>
      </c>
    </row>
    <row r="61" spans="1:7" s="27" customFormat="1" x14ac:dyDescent="0.55000000000000004">
      <c r="A61" s="57">
        <v>55</v>
      </c>
      <c r="B61" s="58" t="s">
        <v>59</v>
      </c>
      <c r="C61" s="129">
        <f>20000</f>
        <v>20000</v>
      </c>
      <c r="D61" s="129"/>
      <c r="E61" s="129">
        <v>20000</v>
      </c>
      <c r="F61" s="129">
        <f t="shared" si="1"/>
        <v>0</v>
      </c>
      <c r="G61" s="137">
        <f t="shared" si="2"/>
        <v>100</v>
      </c>
    </row>
    <row r="62" spans="1:7" s="27" customFormat="1" x14ac:dyDescent="0.55000000000000004">
      <c r="A62" s="57">
        <v>56</v>
      </c>
      <c r="B62" s="58" t="s">
        <v>60</v>
      </c>
      <c r="C62" s="129">
        <f>20000</f>
        <v>20000</v>
      </c>
      <c r="D62" s="129"/>
      <c r="E62" s="129">
        <v>20000</v>
      </c>
      <c r="F62" s="129">
        <f t="shared" si="1"/>
        <v>0</v>
      </c>
      <c r="G62" s="137">
        <f t="shared" si="2"/>
        <v>100</v>
      </c>
    </row>
    <row r="63" spans="1:7" s="27" customFormat="1" x14ac:dyDescent="0.55000000000000004">
      <c r="A63" s="57">
        <v>57</v>
      </c>
      <c r="B63" s="58" t="s">
        <v>61</v>
      </c>
      <c r="C63" s="129">
        <f>20000</f>
        <v>20000</v>
      </c>
      <c r="D63" s="129"/>
      <c r="E63" s="129">
        <v>20000</v>
      </c>
      <c r="F63" s="129">
        <f t="shared" si="1"/>
        <v>0</v>
      </c>
      <c r="G63" s="137">
        <f t="shared" si="2"/>
        <v>100</v>
      </c>
    </row>
    <row r="64" spans="1:7" s="27" customFormat="1" x14ac:dyDescent="0.55000000000000004">
      <c r="A64" s="57">
        <v>58</v>
      </c>
      <c r="B64" s="58" t="s">
        <v>62</v>
      </c>
      <c r="C64" s="129">
        <f>20000</f>
        <v>20000</v>
      </c>
      <c r="D64" s="129"/>
      <c r="E64" s="129">
        <v>20000</v>
      </c>
      <c r="F64" s="129">
        <f t="shared" si="1"/>
        <v>0</v>
      </c>
      <c r="G64" s="137">
        <f t="shared" si="2"/>
        <v>100</v>
      </c>
    </row>
    <row r="65" spans="1:7" s="27" customFormat="1" x14ac:dyDescent="0.55000000000000004">
      <c r="A65" s="57">
        <v>59</v>
      </c>
      <c r="B65" s="58" t="s">
        <v>63</v>
      </c>
      <c r="C65" s="129">
        <f>20000</f>
        <v>20000</v>
      </c>
      <c r="D65" s="129"/>
      <c r="E65" s="129">
        <v>20000</v>
      </c>
      <c r="F65" s="129">
        <f t="shared" si="1"/>
        <v>0</v>
      </c>
      <c r="G65" s="137">
        <f t="shared" si="2"/>
        <v>100</v>
      </c>
    </row>
    <row r="66" spans="1:7" s="27" customFormat="1" x14ac:dyDescent="0.55000000000000004">
      <c r="A66" s="57">
        <v>60</v>
      </c>
      <c r="B66" s="58" t="s">
        <v>64</v>
      </c>
      <c r="C66" s="129">
        <f>20000</f>
        <v>20000</v>
      </c>
      <c r="D66" s="129"/>
      <c r="E66" s="129">
        <v>20000</v>
      </c>
      <c r="F66" s="129">
        <f t="shared" si="1"/>
        <v>0</v>
      </c>
      <c r="G66" s="137">
        <f t="shared" si="2"/>
        <v>100</v>
      </c>
    </row>
    <row r="67" spans="1:7" s="27" customFormat="1" x14ac:dyDescent="0.55000000000000004">
      <c r="A67" s="57">
        <v>61</v>
      </c>
      <c r="B67" s="58" t="s">
        <v>65</v>
      </c>
      <c r="C67" s="129">
        <f>20000</f>
        <v>20000</v>
      </c>
      <c r="D67" s="129"/>
      <c r="E67" s="129">
        <v>20000</v>
      </c>
      <c r="F67" s="129">
        <f t="shared" si="1"/>
        <v>0</v>
      </c>
      <c r="G67" s="137">
        <f t="shared" si="2"/>
        <v>100</v>
      </c>
    </row>
    <row r="68" spans="1:7" s="27" customFormat="1" x14ac:dyDescent="0.55000000000000004">
      <c r="A68" s="57">
        <v>62</v>
      </c>
      <c r="B68" s="58" t="s">
        <v>66</v>
      </c>
      <c r="C68" s="129">
        <f>20000</f>
        <v>20000</v>
      </c>
      <c r="D68" s="129"/>
      <c r="E68" s="129">
        <v>20000</v>
      </c>
      <c r="F68" s="129">
        <f t="shared" si="1"/>
        <v>0</v>
      </c>
      <c r="G68" s="137">
        <f t="shared" si="2"/>
        <v>100</v>
      </c>
    </row>
    <row r="69" spans="1:7" s="27" customFormat="1" x14ac:dyDescent="0.55000000000000004">
      <c r="A69" s="57">
        <v>63</v>
      </c>
      <c r="B69" s="58" t="s">
        <v>67</v>
      </c>
      <c r="C69" s="129">
        <f>20000</f>
        <v>20000</v>
      </c>
      <c r="D69" s="129"/>
      <c r="E69" s="129">
        <v>20000</v>
      </c>
      <c r="F69" s="129">
        <f t="shared" si="1"/>
        <v>0</v>
      </c>
      <c r="G69" s="137">
        <f t="shared" si="2"/>
        <v>100</v>
      </c>
    </row>
    <row r="70" spans="1:7" s="27" customFormat="1" x14ac:dyDescent="0.55000000000000004">
      <c r="A70" s="57">
        <v>64</v>
      </c>
      <c r="B70" s="58" t="s">
        <v>68</v>
      </c>
      <c r="C70" s="129">
        <f>20000</f>
        <v>20000</v>
      </c>
      <c r="D70" s="129"/>
      <c r="E70" s="129">
        <v>20000</v>
      </c>
      <c r="F70" s="129">
        <f t="shared" si="1"/>
        <v>0</v>
      </c>
      <c r="G70" s="137">
        <f t="shared" ref="G70:G82" si="3">SUM(E70*100/C70)</f>
        <v>100</v>
      </c>
    </row>
    <row r="71" spans="1:7" s="27" customFormat="1" x14ac:dyDescent="0.55000000000000004">
      <c r="A71" s="57">
        <v>65</v>
      </c>
      <c r="B71" s="58" t="s">
        <v>69</v>
      </c>
      <c r="C71" s="129">
        <f>20000</f>
        <v>20000</v>
      </c>
      <c r="D71" s="129"/>
      <c r="E71" s="129">
        <v>20000</v>
      </c>
      <c r="F71" s="129">
        <f t="shared" si="1"/>
        <v>0</v>
      </c>
      <c r="G71" s="137">
        <f t="shared" si="3"/>
        <v>100</v>
      </c>
    </row>
    <row r="72" spans="1:7" s="27" customFormat="1" x14ac:dyDescent="0.55000000000000004">
      <c r="A72" s="57">
        <v>66</v>
      </c>
      <c r="B72" s="58" t="s">
        <v>70</v>
      </c>
      <c r="C72" s="129">
        <f>20000</f>
        <v>20000</v>
      </c>
      <c r="D72" s="129"/>
      <c r="E72" s="129">
        <v>20000</v>
      </c>
      <c r="F72" s="129">
        <f t="shared" ref="F72:F82" si="4">SUM(C72-D72-E72)</f>
        <v>0</v>
      </c>
      <c r="G72" s="137">
        <f t="shared" si="3"/>
        <v>100</v>
      </c>
    </row>
    <row r="73" spans="1:7" s="27" customFormat="1" x14ac:dyDescent="0.55000000000000004">
      <c r="A73" s="57">
        <v>67</v>
      </c>
      <c r="B73" s="58" t="s">
        <v>71</v>
      </c>
      <c r="C73" s="129">
        <f>20000</f>
        <v>20000</v>
      </c>
      <c r="D73" s="129"/>
      <c r="E73" s="129">
        <v>20000</v>
      </c>
      <c r="F73" s="129">
        <f t="shared" si="4"/>
        <v>0</v>
      </c>
      <c r="G73" s="137">
        <f t="shared" si="3"/>
        <v>100</v>
      </c>
    </row>
    <row r="74" spans="1:7" s="27" customFormat="1" x14ac:dyDescent="0.55000000000000004">
      <c r="A74" s="57">
        <v>68</v>
      </c>
      <c r="B74" s="58" t="s">
        <v>72</v>
      </c>
      <c r="C74" s="129">
        <f>20000</f>
        <v>20000</v>
      </c>
      <c r="D74" s="129"/>
      <c r="E74" s="129">
        <v>20000</v>
      </c>
      <c r="F74" s="129">
        <f t="shared" si="4"/>
        <v>0</v>
      </c>
      <c r="G74" s="137">
        <f t="shared" si="3"/>
        <v>100</v>
      </c>
    </row>
    <row r="75" spans="1:7" s="27" customFormat="1" x14ac:dyDescent="0.55000000000000004">
      <c r="A75" s="57">
        <v>69</v>
      </c>
      <c r="B75" s="58" t="s">
        <v>73</v>
      </c>
      <c r="C75" s="129">
        <f>20000</f>
        <v>20000</v>
      </c>
      <c r="D75" s="129"/>
      <c r="E75" s="129">
        <v>20000</v>
      </c>
      <c r="F75" s="129">
        <f t="shared" si="4"/>
        <v>0</v>
      </c>
      <c r="G75" s="137">
        <f t="shared" si="3"/>
        <v>100</v>
      </c>
    </row>
    <row r="76" spans="1:7" s="27" customFormat="1" x14ac:dyDescent="0.55000000000000004">
      <c r="A76" s="57">
        <v>70</v>
      </c>
      <c r="B76" s="58" t="s">
        <v>74</v>
      </c>
      <c r="C76" s="129">
        <f>20000</f>
        <v>20000</v>
      </c>
      <c r="D76" s="129"/>
      <c r="E76" s="129">
        <v>20000</v>
      </c>
      <c r="F76" s="129">
        <f t="shared" si="4"/>
        <v>0</v>
      </c>
      <c r="G76" s="137">
        <f t="shared" si="3"/>
        <v>100</v>
      </c>
    </row>
    <row r="77" spans="1:7" s="27" customFormat="1" x14ac:dyDescent="0.55000000000000004">
      <c r="A77" s="57">
        <v>71</v>
      </c>
      <c r="B77" s="58" t="s">
        <v>75</v>
      </c>
      <c r="C77" s="129">
        <f>20000</f>
        <v>20000</v>
      </c>
      <c r="D77" s="129"/>
      <c r="E77" s="129">
        <v>19999.5</v>
      </c>
      <c r="F77" s="129">
        <f t="shared" si="4"/>
        <v>0.5</v>
      </c>
      <c r="G77" s="137">
        <f t="shared" si="3"/>
        <v>99.997500000000002</v>
      </c>
    </row>
    <row r="78" spans="1:7" s="27" customFormat="1" x14ac:dyDescent="0.55000000000000004">
      <c r="A78" s="57">
        <v>72</v>
      </c>
      <c r="B78" s="58" t="s">
        <v>76</v>
      </c>
      <c r="C78" s="129">
        <f>20000</f>
        <v>20000</v>
      </c>
      <c r="D78" s="129"/>
      <c r="E78" s="129">
        <v>20000</v>
      </c>
      <c r="F78" s="129">
        <f t="shared" si="4"/>
        <v>0</v>
      </c>
      <c r="G78" s="137">
        <f t="shared" si="3"/>
        <v>100</v>
      </c>
    </row>
    <row r="79" spans="1:7" s="27" customFormat="1" x14ac:dyDescent="0.55000000000000004">
      <c r="A79" s="57">
        <v>73</v>
      </c>
      <c r="B79" s="58" t="s">
        <v>77</v>
      </c>
      <c r="C79" s="129">
        <f>20000+297700</f>
        <v>317700</v>
      </c>
      <c r="D79" s="129"/>
      <c r="E79" s="129">
        <v>20000</v>
      </c>
      <c r="F79" s="129">
        <f t="shared" si="4"/>
        <v>297700</v>
      </c>
      <c r="G79" s="137">
        <f t="shared" si="3"/>
        <v>6.2952470884482219</v>
      </c>
    </row>
    <row r="80" spans="1:7" s="27" customFormat="1" x14ac:dyDescent="0.55000000000000004">
      <c r="A80" s="57">
        <v>74</v>
      </c>
      <c r="B80" s="58" t="s">
        <v>78</v>
      </c>
      <c r="C80" s="129">
        <f t="shared" ref="C80:C81" si="5">20000+297700</f>
        <v>317700</v>
      </c>
      <c r="D80" s="129">
        <v>289230</v>
      </c>
      <c r="E80" s="129">
        <v>20000</v>
      </c>
      <c r="F80" s="129">
        <f t="shared" si="4"/>
        <v>8470</v>
      </c>
      <c r="G80" s="137">
        <f t="shared" si="3"/>
        <v>6.2952470884482219</v>
      </c>
    </row>
    <row r="81" spans="1:7" s="27" customFormat="1" x14ac:dyDescent="0.55000000000000004">
      <c r="A81" s="57">
        <v>75</v>
      </c>
      <c r="B81" s="58" t="s">
        <v>79</v>
      </c>
      <c r="C81" s="129">
        <f t="shared" si="5"/>
        <v>317700</v>
      </c>
      <c r="D81" s="129"/>
      <c r="E81" s="129">
        <v>20000</v>
      </c>
      <c r="F81" s="129">
        <f t="shared" si="4"/>
        <v>297700</v>
      </c>
      <c r="G81" s="137">
        <f t="shared" si="3"/>
        <v>6.2952470884482219</v>
      </c>
    </row>
    <row r="82" spans="1:7" s="27" customFormat="1" x14ac:dyDescent="0.55000000000000004">
      <c r="A82" s="57">
        <v>76</v>
      </c>
      <c r="B82" s="58" t="s">
        <v>80</v>
      </c>
      <c r="C82" s="129">
        <f>20000</f>
        <v>20000</v>
      </c>
      <c r="D82" s="129"/>
      <c r="E82" s="129">
        <v>20000</v>
      </c>
      <c r="F82" s="129">
        <f t="shared" si="4"/>
        <v>0</v>
      </c>
      <c r="G82" s="137">
        <f t="shared" si="3"/>
        <v>100</v>
      </c>
    </row>
  </sheetData>
  <sheetProtection selectLockedCells="1"/>
  <mergeCells count="5">
    <mergeCell ref="A4:A5"/>
    <mergeCell ref="B4:B5"/>
    <mergeCell ref="A1:G1"/>
    <mergeCell ref="A2:G2"/>
    <mergeCell ref="C4:G4"/>
  </mergeCell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O82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15.625" defaultRowHeight="24" x14ac:dyDescent="0.55000000000000004"/>
  <cols>
    <col min="1" max="1" width="8.375" style="53" customWidth="1"/>
    <col min="2" max="2" width="25.125" style="54" bestFit="1" customWidth="1"/>
    <col min="3" max="3" width="23" style="45" bestFit="1" customWidth="1"/>
    <col min="4" max="4" width="20" style="45" bestFit="1" customWidth="1"/>
    <col min="5" max="5" width="23.375" style="45" bestFit="1" customWidth="1"/>
    <col min="6" max="7" width="21.25" style="45" bestFit="1" customWidth="1"/>
    <col min="8" max="8" width="20" style="45" bestFit="1" customWidth="1"/>
    <col min="9" max="9" width="23.375" style="45" bestFit="1" customWidth="1"/>
    <col min="10" max="10" width="21.25" style="45" bestFit="1" customWidth="1"/>
    <col min="11" max="11" width="23" style="45" bestFit="1" customWidth="1"/>
    <col min="12" max="12" width="20" style="45" bestFit="1" customWidth="1"/>
    <col min="13" max="13" width="23.25" style="45" bestFit="1" customWidth="1"/>
    <col min="14" max="14" width="23" style="45" bestFit="1" customWidth="1"/>
    <col min="15" max="15" width="21.125" style="45" bestFit="1" customWidth="1"/>
    <col min="16" max="16" width="20" style="45" bestFit="1" customWidth="1"/>
    <col min="17" max="17" width="23.375" style="45" bestFit="1" customWidth="1"/>
    <col min="18" max="18" width="21.25" style="45" bestFit="1" customWidth="1"/>
    <col min="19" max="19" width="23" style="45" bestFit="1" customWidth="1"/>
    <col min="20" max="20" width="20" style="45" bestFit="1" customWidth="1"/>
    <col min="21" max="21" width="23.5" style="45" bestFit="1" customWidth="1"/>
    <col min="22" max="22" width="23" style="45" bestFit="1" customWidth="1"/>
    <col min="23" max="23" width="24.5" style="45" bestFit="1" customWidth="1"/>
    <col min="24" max="24" width="31" style="45" bestFit="1" customWidth="1"/>
    <col min="25" max="25" width="23.375" style="45" bestFit="1" customWidth="1"/>
    <col min="26" max="26" width="24.5" style="45" bestFit="1" customWidth="1"/>
    <col min="27" max="27" width="22.875" style="45" bestFit="1" customWidth="1"/>
    <col min="28" max="28" width="20" style="45" bestFit="1" customWidth="1"/>
    <col min="29" max="29" width="23.25" style="45" bestFit="1" customWidth="1"/>
    <col min="30" max="31" width="23" style="45" bestFit="1" customWidth="1"/>
    <col min="32" max="32" width="20" style="45" bestFit="1" customWidth="1"/>
    <col min="33" max="33" width="23.25" style="45" bestFit="1" customWidth="1"/>
    <col min="34" max="34" width="23" style="45" bestFit="1" customWidth="1"/>
    <col min="35" max="35" width="21.25" style="45" bestFit="1" customWidth="1"/>
    <col min="36" max="36" width="20" style="45" bestFit="1" customWidth="1"/>
    <col min="37" max="37" width="23.5" style="45" bestFit="1" customWidth="1"/>
    <col min="38" max="39" width="21.25" style="45" bestFit="1" customWidth="1"/>
    <col min="40" max="40" width="20" style="45" bestFit="1" customWidth="1"/>
    <col min="41" max="41" width="23.375" style="45" bestFit="1" customWidth="1"/>
    <col min="42" max="42" width="21.25" style="45" bestFit="1" customWidth="1"/>
    <col min="43" max="43" width="18.625" style="45" bestFit="1" customWidth="1"/>
    <col min="44" max="44" width="20" style="45" bestFit="1" customWidth="1"/>
    <col min="45" max="45" width="16.625" style="45" bestFit="1" customWidth="1"/>
    <col min="46" max="46" width="16.75" style="45" bestFit="1" customWidth="1"/>
    <col min="47" max="47" width="15.875" style="45" bestFit="1" customWidth="1"/>
    <col min="48" max="48" width="20" style="45" bestFit="1" customWidth="1"/>
    <col min="49" max="49" width="15.875" style="45" bestFit="1" customWidth="1"/>
    <col min="50" max="50" width="16" style="45" bestFit="1" customWidth="1"/>
    <col min="51" max="51" width="15.875" style="45" bestFit="1" customWidth="1"/>
    <col min="52" max="52" width="20" style="45" bestFit="1" customWidth="1"/>
    <col min="53" max="53" width="15.875" style="45" bestFit="1" customWidth="1"/>
    <col min="54" max="54" width="16" style="45" bestFit="1" customWidth="1"/>
    <col min="55" max="55" width="24.5" style="45" bestFit="1" customWidth="1"/>
    <col min="56" max="56" width="21.125" style="45" bestFit="1" customWidth="1"/>
    <col min="57" max="57" width="23.5" style="45" bestFit="1" customWidth="1"/>
    <col min="58" max="58" width="24.5" style="45" bestFit="1" customWidth="1"/>
    <col min="59" max="59" width="18.5" style="45" bestFit="1" customWidth="1"/>
    <col min="60" max="60" width="23" style="37" bestFit="1" customWidth="1"/>
    <col min="61" max="61" width="21.25" style="37" bestFit="1" customWidth="1"/>
    <col min="62" max="73" width="15.625" style="37"/>
    <col min="74" max="16384" width="15.625" style="45"/>
  </cols>
  <sheetData>
    <row r="1" spans="1:93" s="48" customFormat="1" ht="27.75" x14ac:dyDescent="0.65">
      <c r="A1" s="46" t="s">
        <v>137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</row>
    <row r="2" spans="1:93" s="48" customFormat="1" ht="27.75" x14ac:dyDescent="0.65">
      <c r="A2" s="85" t="s">
        <v>136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</row>
    <row r="3" spans="1:93" s="48" customFormat="1" x14ac:dyDescent="0.55000000000000004">
      <c r="A3" s="50"/>
      <c r="B3" s="51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93" ht="91.9" customHeight="1" x14ac:dyDescent="0.55000000000000004">
      <c r="A4" s="86" t="s">
        <v>0</v>
      </c>
      <c r="B4" s="88" t="s">
        <v>1</v>
      </c>
      <c r="C4" s="84" t="s">
        <v>123</v>
      </c>
      <c r="D4" s="84"/>
      <c r="E4" s="84"/>
      <c r="F4" s="84"/>
      <c r="G4" s="84" t="s">
        <v>124</v>
      </c>
      <c r="H4" s="84"/>
      <c r="I4" s="84"/>
      <c r="J4" s="84"/>
      <c r="K4" s="91" t="s">
        <v>125</v>
      </c>
      <c r="L4" s="92"/>
      <c r="M4" s="92"/>
      <c r="N4" s="93"/>
      <c r="O4" s="84" t="s">
        <v>126</v>
      </c>
      <c r="P4" s="84"/>
      <c r="Q4" s="84"/>
      <c r="R4" s="84"/>
      <c r="S4" s="84" t="s">
        <v>127</v>
      </c>
      <c r="T4" s="84"/>
      <c r="U4" s="84"/>
      <c r="V4" s="84"/>
      <c r="W4" s="84" t="s">
        <v>128</v>
      </c>
      <c r="X4" s="84"/>
      <c r="Y4" s="84"/>
      <c r="Z4" s="84"/>
      <c r="AA4" s="84" t="s">
        <v>135</v>
      </c>
      <c r="AB4" s="84"/>
      <c r="AC4" s="84"/>
      <c r="AD4" s="84"/>
      <c r="AE4" s="84" t="s">
        <v>133</v>
      </c>
      <c r="AF4" s="84"/>
      <c r="AG4" s="84"/>
      <c r="AH4" s="84"/>
      <c r="AI4" s="84" t="s">
        <v>129</v>
      </c>
      <c r="AJ4" s="84"/>
      <c r="AK4" s="84"/>
      <c r="AL4" s="84"/>
      <c r="AM4" s="84" t="s">
        <v>130</v>
      </c>
      <c r="AN4" s="84"/>
      <c r="AO4" s="84"/>
      <c r="AP4" s="84"/>
      <c r="AQ4" s="84" t="s">
        <v>131</v>
      </c>
      <c r="AR4" s="84"/>
      <c r="AS4" s="84"/>
      <c r="AT4" s="84"/>
      <c r="AU4" s="84" t="s">
        <v>113</v>
      </c>
      <c r="AV4" s="84"/>
      <c r="AW4" s="84"/>
      <c r="AX4" s="84"/>
      <c r="AY4" s="84" t="s">
        <v>116</v>
      </c>
      <c r="AZ4" s="84"/>
      <c r="BA4" s="84"/>
      <c r="BB4" s="84"/>
      <c r="BC4" s="90" t="s">
        <v>96</v>
      </c>
      <c r="BD4" s="90"/>
      <c r="BE4" s="90"/>
      <c r="BF4" s="90"/>
      <c r="BG4" s="90"/>
      <c r="BH4" s="37">
        <f>SUM(BH6+BE6)</f>
        <v>161596162.99000001</v>
      </c>
    </row>
    <row r="5" spans="1:93" x14ac:dyDescent="0.55000000000000004">
      <c r="A5" s="87"/>
      <c r="B5" s="89"/>
      <c r="C5" s="26" t="s">
        <v>2</v>
      </c>
      <c r="D5" s="26" t="s">
        <v>111</v>
      </c>
      <c r="E5" s="26" t="s">
        <v>3</v>
      </c>
      <c r="F5" s="26" t="s">
        <v>4</v>
      </c>
      <c r="G5" s="26" t="s">
        <v>2</v>
      </c>
      <c r="H5" s="26" t="s">
        <v>111</v>
      </c>
      <c r="I5" s="26" t="s">
        <v>3</v>
      </c>
      <c r="J5" s="26" t="s">
        <v>4</v>
      </c>
      <c r="K5" s="26" t="s">
        <v>2</v>
      </c>
      <c r="L5" s="26" t="s">
        <v>111</v>
      </c>
      <c r="M5" s="26" t="s">
        <v>3</v>
      </c>
      <c r="N5" s="26" t="s">
        <v>4</v>
      </c>
      <c r="O5" s="26" t="s">
        <v>2</v>
      </c>
      <c r="P5" s="26" t="s">
        <v>111</v>
      </c>
      <c r="Q5" s="26" t="s">
        <v>3</v>
      </c>
      <c r="R5" s="26" t="s">
        <v>4</v>
      </c>
      <c r="S5" s="26" t="s">
        <v>2</v>
      </c>
      <c r="T5" s="26" t="s">
        <v>111</v>
      </c>
      <c r="U5" s="26" t="s">
        <v>3</v>
      </c>
      <c r="V5" s="26" t="s">
        <v>4</v>
      </c>
      <c r="W5" s="26" t="s">
        <v>2</v>
      </c>
      <c r="X5" s="26" t="s">
        <v>111</v>
      </c>
      <c r="Y5" s="26" t="s">
        <v>3</v>
      </c>
      <c r="Z5" s="26" t="s">
        <v>4</v>
      </c>
      <c r="AA5" s="26" t="s">
        <v>2</v>
      </c>
      <c r="AB5" s="26" t="s">
        <v>111</v>
      </c>
      <c r="AC5" s="26" t="s">
        <v>3</v>
      </c>
      <c r="AD5" s="26" t="s">
        <v>4</v>
      </c>
      <c r="AE5" s="26" t="s">
        <v>2</v>
      </c>
      <c r="AF5" s="26" t="s">
        <v>111</v>
      </c>
      <c r="AG5" s="26" t="s">
        <v>3</v>
      </c>
      <c r="AH5" s="26" t="s">
        <v>4</v>
      </c>
      <c r="AI5" s="26" t="s">
        <v>2</v>
      </c>
      <c r="AJ5" s="26" t="s">
        <v>111</v>
      </c>
      <c r="AK5" s="26" t="s">
        <v>3</v>
      </c>
      <c r="AL5" s="26" t="s">
        <v>4</v>
      </c>
      <c r="AM5" s="26" t="s">
        <v>2</v>
      </c>
      <c r="AN5" s="26" t="s">
        <v>111</v>
      </c>
      <c r="AO5" s="26" t="s">
        <v>3</v>
      </c>
      <c r="AP5" s="26" t="s">
        <v>4</v>
      </c>
      <c r="AQ5" s="26" t="s">
        <v>2</v>
      </c>
      <c r="AR5" s="26" t="s">
        <v>111</v>
      </c>
      <c r="AS5" s="26" t="s">
        <v>3</v>
      </c>
      <c r="AT5" s="26" t="s">
        <v>4</v>
      </c>
      <c r="AU5" s="26" t="s">
        <v>2</v>
      </c>
      <c r="AV5" s="26" t="s">
        <v>111</v>
      </c>
      <c r="AW5" s="26" t="s">
        <v>3</v>
      </c>
      <c r="AX5" s="26" t="s">
        <v>4</v>
      </c>
      <c r="AY5" s="26" t="s">
        <v>2</v>
      </c>
      <c r="AZ5" s="26" t="s">
        <v>111</v>
      </c>
      <c r="BA5" s="26" t="s">
        <v>3</v>
      </c>
      <c r="BB5" s="26" t="s">
        <v>4</v>
      </c>
      <c r="BC5" s="26" t="s">
        <v>2</v>
      </c>
      <c r="BD5" s="26" t="s">
        <v>111</v>
      </c>
      <c r="BE5" s="26" t="s">
        <v>3</v>
      </c>
      <c r="BF5" s="26" t="s">
        <v>4</v>
      </c>
      <c r="BG5" s="26" t="s">
        <v>110</v>
      </c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</row>
    <row r="6" spans="1:93" x14ac:dyDescent="0.55000000000000004">
      <c r="A6" s="39" t="s">
        <v>82</v>
      </c>
      <c r="B6" s="40"/>
      <c r="C6" s="33">
        <f>SUM(C7:C82)</f>
        <v>13680000</v>
      </c>
      <c r="D6" s="33">
        <f>SUM(D7:D82)</f>
        <v>0</v>
      </c>
      <c r="E6" s="33">
        <f>SUM(E7:E82)</f>
        <v>5849116</v>
      </c>
      <c r="F6" s="33">
        <f>SUM(C6-D6-E6)</f>
        <v>7830884</v>
      </c>
      <c r="G6" s="33">
        <f>SUM(G7:G82)</f>
        <v>9646000</v>
      </c>
      <c r="H6" s="33">
        <f>SUM(H7:H82)</f>
        <v>5000</v>
      </c>
      <c r="I6" s="33">
        <f>SUM(I7:I82)</f>
        <v>6866230.3899999997</v>
      </c>
      <c r="J6" s="33">
        <f>SUM(G6-H6-I6)</f>
        <v>2774769.6100000003</v>
      </c>
      <c r="K6" s="33">
        <f>SUM(K7:K82)</f>
        <v>25840000</v>
      </c>
      <c r="L6" s="33">
        <f>SUM(L7:L82)</f>
        <v>9000</v>
      </c>
      <c r="M6" s="33">
        <f>SUM(M7:M82)</f>
        <v>8852900</v>
      </c>
      <c r="N6" s="33">
        <f>SUM(K6-L6-M6)</f>
        <v>16978100</v>
      </c>
      <c r="O6" s="33">
        <f>SUM(O7:O82)</f>
        <v>4000000</v>
      </c>
      <c r="P6" s="33">
        <f>SUM(P7:P82)</f>
        <v>0</v>
      </c>
      <c r="Q6" s="33">
        <f>SUM(Q7:Q82)</f>
        <v>1297565.82</v>
      </c>
      <c r="R6" s="33">
        <f>SUM(O6-P6-Q6)</f>
        <v>2702434.1799999997</v>
      </c>
      <c r="S6" s="33">
        <f>SUM(S7:S82)</f>
        <v>72200000</v>
      </c>
      <c r="T6" s="33">
        <f>SUM(T7:T82)</f>
        <v>1347428.33</v>
      </c>
      <c r="U6" s="33">
        <f>SUM(U7:U82)</f>
        <v>38689334.960000001</v>
      </c>
      <c r="V6" s="33">
        <f>SUM(S6-T6-U6)</f>
        <v>32163236.710000001</v>
      </c>
      <c r="W6" s="33">
        <f>SUM(W7:W82)</f>
        <v>194132940</v>
      </c>
      <c r="X6" s="33">
        <f>SUM(X7:X82)</f>
        <v>18503795</v>
      </c>
      <c r="Y6" s="33">
        <f>SUM(Y7:Y82)</f>
        <v>83603882.299999997</v>
      </c>
      <c r="Z6" s="33">
        <f>SUM(W6-X6-Y6)</f>
        <v>92025262.700000003</v>
      </c>
      <c r="AA6" s="33">
        <f>SUM(AA7:AA82)</f>
        <v>16326299</v>
      </c>
      <c r="AB6" s="33">
        <f>SUM(AB7:AB82)</f>
        <v>5627100</v>
      </c>
      <c r="AC6" s="33">
        <f>SUM(AC7:AC82)</f>
        <v>8896743.3300000001</v>
      </c>
      <c r="AD6" s="33">
        <f>SUM(AA6-AB6-AC6)</f>
        <v>1802455.67</v>
      </c>
      <c r="AE6" s="33">
        <f>SUM(AE7:AE82)</f>
        <v>1862313</v>
      </c>
      <c r="AF6" s="33">
        <f>SUM(AF7:AF82)</f>
        <v>0</v>
      </c>
      <c r="AG6" s="33">
        <f>SUM(AG7:AG82)</f>
        <v>1843563</v>
      </c>
      <c r="AH6" s="33">
        <f>SUM(AE6-AF6-AG6)</f>
        <v>18750</v>
      </c>
      <c r="AI6" s="33">
        <f>SUM(AI7:AI82)</f>
        <v>5891000</v>
      </c>
      <c r="AJ6" s="33">
        <f>SUM(AJ7:AJ82)</f>
        <v>0</v>
      </c>
      <c r="AK6" s="33">
        <f>SUM(AK7:AK82)</f>
        <v>3769101.1999999997</v>
      </c>
      <c r="AL6" s="33">
        <f>SUM(AI6-AJ6-AK6)</f>
        <v>2121898.8000000003</v>
      </c>
      <c r="AM6" s="33">
        <f>SUM(AM7:AM82)</f>
        <v>3040000</v>
      </c>
      <c r="AN6" s="33">
        <f>SUM(AN7:AN82)</f>
        <v>0</v>
      </c>
      <c r="AO6" s="33">
        <f>SUM(AO7:AO82)</f>
        <v>1058570</v>
      </c>
      <c r="AP6" s="33">
        <f>SUM(AM6-AN6-AO6)</f>
        <v>1981430</v>
      </c>
      <c r="AQ6" s="33">
        <f>SUM(AQ7:AQ82)</f>
        <v>94000</v>
      </c>
      <c r="AR6" s="33">
        <f>SUM(AR7:AR82)</f>
        <v>0</v>
      </c>
      <c r="AS6" s="33">
        <f>SUM(AS7:AS82)</f>
        <v>89110.99</v>
      </c>
      <c r="AT6" s="33">
        <f>SUM(AQ6-AR6-AS6)</f>
        <v>4889.0099999999948</v>
      </c>
      <c r="AU6" s="33">
        <f>SUM(AU7:AU82)</f>
        <v>0</v>
      </c>
      <c r="AV6" s="33">
        <f>SUM(AV7:AV82)</f>
        <v>0</v>
      </c>
      <c r="AW6" s="33">
        <f>SUM(AW7:AW82)</f>
        <v>0</v>
      </c>
      <c r="AX6" s="33">
        <f>SUM(AU6-AV6-AW6)</f>
        <v>0</v>
      </c>
      <c r="AY6" s="33">
        <f>SUM(AY7:AY82)</f>
        <v>0</v>
      </c>
      <c r="AZ6" s="33">
        <f t="shared" ref="AZ6:BB6" si="0">SUM(AZ7:AZ82)</f>
        <v>0</v>
      </c>
      <c r="BA6" s="33">
        <f t="shared" si="0"/>
        <v>0</v>
      </c>
      <c r="BB6" s="33">
        <f t="shared" si="0"/>
        <v>0</v>
      </c>
      <c r="BC6" s="33">
        <f t="shared" ref="BC6:BC69" si="1">SUM(C6+G6+K6+O6+S6+W6+AA6+AE6+AI6+AM6+AQ6+AU6)</f>
        <v>346712552</v>
      </c>
      <c r="BD6" s="33">
        <f t="shared" ref="BD6" si="2">SUM(D6+H6+L6+P6+T6+X6+AB6+AF6+AJ6+AN6+AR6+AV6)</f>
        <v>25492323.329999998</v>
      </c>
      <c r="BE6" s="33">
        <f>SUM(E6+I6+M6+Q6+U6+Y6+AC6+AG6+AK6+AO6+AS6+AW6)</f>
        <v>160816117.99000001</v>
      </c>
      <c r="BF6" s="33">
        <f t="shared" ref="BF6" si="3">SUM(F6+J6+N6+R6+V6+Z6+AD6+AH6+AL6+AP6+AT6+AX6)</f>
        <v>160404110.67999998</v>
      </c>
      <c r="BG6" s="33">
        <f t="shared" ref="BG6:BG37" si="4">SUM(BE6*100/BC6)</f>
        <v>46.383125462962759</v>
      </c>
      <c r="BH6" s="41">
        <f>SUM(BH7:BH82)</f>
        <v>780045</v>
      </c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</row>
    <row r="7" spans="1:93" s="64" customFormat="1" x14ac:dyDescent="0.55000000000000004">
      <c r="A7" s="138">
        <v>1</v>
      </c>
      <c r="B7" s="128" t="s">
        <v>5</v>
      </c>
      <c r="C7" s="129">
        <f>180000</f>
        <v>180000</v>
      </c>
      <c r="D7" s="129"/>
      <c r="E7" s="133"/>
      <c r="F7" s="129">
        <f>SUM(C7-D7-E7)</f>
        <v>180000</v>
      </c>
      <c r="G7" s="129">
        <f>99000</f>
        <v>99000</v>
      </c>
      <c r="H7" s="133"/>
      <c r="I7" s="133">
        <v>19800</v>
      </c>
      <c r="J7" s="129">
        <f>SUM(G7-H7-I7)</f>
        <v>79200</v>
      </c>
      <c r="K7" s="129">
        <f>340000</f>
        <v>340000</v>
      </c>
      <c r="L7" s="133"/>
      <c r="M7" s="133"/>
      <c r="N7" s="129">
        <f>SUM(K7-L7-M7)</f>
        <v>340000</v>
      </c>
      <c r="O7" s="129"/>
      <c r="P7" s="129"/>
      <c r="Q7" s="129"/>
      <c r="R7" s="129">
        <f>SUM(O7-P7-Q7)</f>
        <v>0</v>
      </c>
      <c r="S7" s="129">
        <f>550000+400000</f>
        <v>950000</v>
      </c>
      <c r="T7" s="133"/>
      <c r="U7" s="133">
        <v>552942</v>
      </c>
      <c r="V7" s="129">
        <f>SUM(S7-T7-U7)</f>
        <v>397058</v>
      </c>
      <c r="W7" s="129">
        <f>1529000+878890</f>
        <v>2407890</v>
      </c>
      <c r="X7" s="133">
        <v>549000</v>
      </c>
      <c r="Y7" s="133">
        <v>1238960</v>
      </c>
      <c r="Z7" s="129">
        <f>SUM(W7-X7-Y7)</f>
        <v>619930</v>
      </c>
      <c r="AA7" s="129"/>
      <c r="AB7" s="129"/>
      <c r="AC7" s="129"/>
      <c r="AD7" s="129">
        <f>SUM(AA7-AB7-AC7)</f>
        <v>0</v>
      </c>
      <c r="AE7" s="129">
        <f>151200-151200</f>
        <v>0</v>
      </c>
      <c r="AF7" s="133"/>
      <c r="AG7" s="133"/>
      <c r="AH7" s="129">
        <f>SUM(AE7-AF7-AG7)</f>
        <v>0</v>
      </c>
      <c r="AI7" s="129">
        <f>70000+30000-10000</f>
        <v>90000</v>
      </c>
      <c r="AJ7" s="129"/>
      <c r="AK7" s="133">
        <v>65580</v>
      </c>
      <c r="AL7" s="129">
        <f>SUM(AI7-AJ7-AK7)</f>
        <v>24420</v>
      </c>
      <c r="AM7" s="129">
        <f>40000</f>
        <v>40000</v>
      </c>
      <c r="AN7" s="129"/>
      <c r="AO7" s="133">
        <v>21900</v>
      </c>
      <c r="AP7" s="129">
        <f>SUM(AM7-AN7-AO7)</f>
        <v>18100</v>
      </c>
      <c r="AQ7" s="129"/>
      <c r="AR7" s="129"/>
      <c r="AS7" s="129"/>
      <c r="AT7" s="129">
        <f>SUM(AQ7-AR7-AS7)</f>
        <v>0</v>
      </c>
      <c r="AU7" s="139"/>
      <c r="AV7" s="139"/>
      <c r="AW7" s="140"/>
      <c r="AX7" s="139">
        <f>SUM(AU7-AV7-AW7)</f>
        <v>0</v>
      </c>
      <c r="AY7" s="139"/>
      <c r="AZ7" s="139"/>
      <c r="BA7" s="139"/>
      <c r="BB7" s="139">
        <f>AY7-AZ7-BA7</f>
        <v>0</v>
      </c>
      <c r="BC7" s="135">
        <f t="shared" si="1"/>
        <v>4106890</v>
      </c>
      <c r="BD7" s="135">
        <f t="shared" ref="BD7:BD70" si="5">SUM(D7+H7+L7+P7+T7+X7+AB7+AF7+AJ7+AN7+AR7+AV7)</f>
        <v>549000</v>
      </c>
      <c r="BE7" s="135">
        <f t="shared" ref="BE7:BE70" si="6">SUM(E7+I7+M7+Q7+U7+Y7+AC7+AG7+AK7+AO7+AS7+AW7)</f>
        <v>1899182</v>
      </c>
      <c r="BF7" s="135">
        <f t="shared" ref="BF7:BF70" si="7">SUM(F7+J7+N7+R7+V7+Z7+AD7+AH7+AL7+AP7+AT7+AX7)</f>
        <v>1658708</v>
      </c>
      <c r="BG7" s="129">
        <f>SUM(BE7*100/BC7)</f>
        <v>46.243800053081529</v>
      </c>
      <c r="BH7" s="38">
        <v>1400</v>
      </c>
      <c r="BI7" s="38">
        <f>SUM(BE7+BH7)</f>
        <v>1900582</v>
      </c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</row>
    <row r="8" spans="1:93" s="64" customFormat="1" x14ac:dyDescent="0.55000000000000004">
      <c r="A8" s="138">
        <v>2</v>
      </c>
      <c r="B8" s="128" t="s">
        <v>6</v>
      </c>
      <c r="C8" s="129">
        <f t="shared" ref="C8:C71" si="8">180000</f>
        <v>180000</v>
      </c>
      <c r="D8" s="129"/>
      <c r="E8" s="133">
        <v>122380</v>
      </c>
      <c r="F8" s="129">
        <f t="shared" ref="F8:F71" si="9">SUM(C8-D8-E8)</f>
        <v>57620</v>
      </c>
      <c r="G8" s="129">
        <f>99000</f>
        <v>99000</v>
      </c>
      <c r="H8" s="133"/>
      <c r="I8" s="133">
        <v>99000</v>
      </c>
      <c r="J8" s="129">
        <f t="shared" ref="J8:J71" si="10">SUM(G8-H8-I8)</f>
        <v>0</v>
      </c>
      <c r="K8" s="129">
        <f t="shared" ref="K8:K71" si="11">340000</f>
        <v>340000</v>
      </c>
      <c r="L8" s="133"/>
      <c r="M8" s="133"/>
      <c r="N8" s="129">
        <f t="shared" ref="N8:N71" si="12">SUM(K8-L8-M8)</f>
        <v>340000</v>
      </c>
      <c r="O8" s="129"/>
      <c r="P8" s="129"/>
      <c r="Q8" s="129"/>
      <c r="R8" s="129">
        <f t="shared" ref="R8:R71" si="13">SUM(O8-P8-Q8)</f>
        <v>0</v>
      </c>
      <c r="S8" s="129">
        <f t="shared" ref="S8:S71" si="14">550000+400000</f>
        <v>950000</v>
      </c>
      <c r="T8" s="133"/>
      <c r="U8" s="133">
        <v>482930</v>
      </c>
      <c r="V8" s="129">
        <f t="shared" ref="V8:V71" si="15">SUM(S8-T8-U8)</f>
        <v>467070</v>
      </c>
      <c r="W8" s="129">
        <f>1529000+878890</f>
        <v>2407890</v>
      </c>
      <c r="X8" s="133"/>
      <c r="Y8" s="133">
        <v>225000</v>
      </c>
      <c r="Z8" s="129">
        <f t="shared" ref="Z8:Z71" si="16">SUM(W8-X8-Y8)</f>
        <v>2182890</v>
      </c>
      <c r="AA8" s="129"/>
      <c r="AB8" s="129"/>
      <c r="AC8" s="129"/>
      <c r="AD8" s="129">
        <f t="shared" ref="AD8:AD71" si="17">SUM(AA8-AB8-AC8)</f>
        <v>0</v>
      </c>
      <c r="AE8" s="129">
        <f>153400-153400</f>
        <v>0</v>
      </c>
      <c r="AF8" s="133"/>
      <c r="AG8" s="133"/>
      <c r="AH8" s="129">
        <f t="shared" ref="AH8:AH71" si="18">SUM(AE8-AF8-AG8)</f>
        <v>0</v>
      </c>
      <c r="AI8" s="129">
        <f>70000+30000-27000</f>
        <v>73000</v>
      </c>
      <c r="AJ8" s="129"/>
      <c r="AK8" s="133">
        <v>40088.370000000003</v>
      </c>
      <c r="AL8" s="129">
        <f t="shared" ref="AL8:AL71" si="19">SUM(AI8-AJ8-AK8)</f>
        <v>32911.629999999997</v>
      </c>
      <c r="AM8" s="129">
        <f>40000</f>
        <v>40000</v>
      </c>
      <c r="AN8" s="129"/>
      <c r="AO8" s="133"/>
      <c r="AP8" s="129">
        <f t="shared" ref="AP8:AP71" si="20">SUM(AM8-AN8-AO8)</f>
        <v>40000</v>
      </c>
      <c r="AQ8" s="129"/>
      <c r="AR8" s="129"/>
      <c r="AS8" s="129"/>
      <c r="AT8" s="129">
        <f t="shared" ref="AT8:AT71" si="21">SUM(AQ8-AR8-AS8)</f>
        <v>0</v>
      </c>
      <c r="AU8" s="129"/>
      <c r="AV8" s="129"/>
      <c r="AW8" s="133"/>
      <c r="AX8" s="129">
        <f t="shared" ref="AX8:AX71" si="22">SUM(AU8-AV8-AW8)</f>
        <v>0</v>
      </c>
      <c r="AY8" s="129"/>
      <c r="AZ8" s="129"/>
      <c r="BA8" s="129"/>
      <c r="BB8" s="129">
        <f t="shared" ref="BB8:BB67" si="23">AY8-AZ8-BA8</f>
        <v>0</v>
      </c>
      <c r="BC8" s="135">
        <f t="shared" si="1"/>
        <v>4089890</v>
      </c>
      <c r="BD8" s="135">
        <f t="shared" si="5"/>
        <v>0</v>
      </c>
      <c r="BE8" s="135">
        <f t="shared" si="6"/>
        <v>969398.37</v>
      </c>
      <c r="BF8" s="135">
        <f t="shared" si="7"/>
        <v>3120491.63</v>
      </c>
      <c r="BG8" s="129">
        <f t="shared" si="4"/>
        <v>23.70230910855793</v>
      </c>
      <c r="BH8" s="37">
        <v>700</v>
      </c>
      <c r="BI8" s="37">
        <f t="shared" ref="BI8:BI71" si="24">SUM(BE8+BH8)</f>
        <v>970098.37</v>
      </c>
    </row>
    <row r="9" spans="1:93" s="64" customFormat="1" x14ac:dyDescent="0.55000000000000004">
      <c r="A9" s="138">
        <v>3</v>
      </c>
      <c r="B9" s="128" t="s">
        <v>7</v>
      </c>
      <c r="C9" s="129">
        <f t="shared" si="8"/>
        <v>180000</v>
      </c>
      <c r="D9" s="129"/>
      <c r="E9" s="133">
        <v>158000</v>
      </c>
      <c r="F9" s="129">
        <f t="shared" si="9"/>
        <v>22000</v>
      </c>
      <c r="G9" s="129">
        <f>104000</f>
        <v>104000</v>
      </c>
      <c r="H9" s="133"/>
      <c r="I9" s="133">
        <v>104000</v>
      </c>
      <c r="J9" s="129">
        <f t="shared" si="10"/>
        <v>0</v>
      </c>
      <c r="K9" s="129">
        <f t="shared" si="11"/>
        <v>340000</v>
      </c>
      <c r="L9" s="133"/>
      <c r="M9" s="133"/>
      <c r="N9" s="129">
        <f t="shared" si="12"/>
        <v>340000</v>
      </c>
      <c r="O9" s="129"/>
      <c r="P9" s="129"/>
      <c r="Q9" s="129"/>
      <c r="R9" s="129">
        <f t="shared" si="13"/>
        <v>0</v>
      </c>
      <c r="S9" s="129">
        <f t="shared" si="14"/>
        <v>950000</v>
      </c>
      <c r="T9" s="133"/>
      <c r="U9" s="133">
        <v>408078</v>
      </c>
      <c r="V9" s="129">
        <f t="shared" si="15"/>
        <v>541922</v>
      </c>
      <c r="W9" s="129">
        <f>1589000+878890</f>
        <v>2467890</v>
      </c>
      <c r="X9" s="133">
        <v>15500</v>
      </c>
      <c r="Y9" s="133"/>
      <c r="Z9" s="129">
        <f t="shared" si="16"/>
        <v>2452390</v>
      </c>
      <c r="AA9" s="129"/>
      <c r="AB9" s="129"/>
      <c r="AC9" s="129"/>
      <c r="AD9" s="129">
        <f t="shared" si="17"/>
        <v>0</v>
      </c>
      <c r="AE9" s="129">
        <f>190000-2800</f>
        <v>187200</v>
      </c>
      <c r="AF9" s="133"/>
      <c r="AG9" s="133">
        <v>187200</v>
      </c>
      <c r="AH9" s="129">
        <f t="shared" si="18"/>
        <v>0</v>
      </c>
      <c r="AI9" s="129">
        <f>70000+30000-60000</f>
        <v>40000</v>
      </c>
      <c r="AJ9" s="129"/>
      <c r="AK9" s="133"/>
      <c r="AL9" s="129">
        <f t="shared" si="19"/>
        <v>40000</v>
      </c>
      <c r="AM9" s="129">
        <f>40000</f>
        <v>40000</v>
      </c>
      <c r="AN9" s="129"/>
      <c r="AO9" s="133"/>
      <c r="AP9" s="129">
        <f t="shared" si="20"/>
        <v>40000</v>
      </c>
      <c r="AQ9" s="129"/>
      <c r="AR9" s="129"/>
      <c r="AS9" s="129"/>
      <c r="AT9" s="129">
        <f t="shared" si="21"/>
        <v>0</v>
      </c>
      <c r="AU9" s="129"/>
      <c r="AV9" s="129"/>
      <c r="AW9" s="133"/>
      <c r="AX9" s="129">
        <f t="shared" si="22"/>
        <v>0</v>
      </c>
      <c r="AY9" s="129"/>
      <c r="AZ9" s="129"/>
      <c r="BA9" s="129"/>
      <c r="BB9" s="129">
        <f t="shared" si="23"/>
        <v>0</v>
      </c>
      <c r="BC9" s="135">
        <f t="shared" si="1"/>
        <v>4309090</v>
      </c>
      <c r="BD9" s="135">
        <f t="shared" si="5"/>
        <v>15500</v>
      </c>
      <c r="BE9" s="135">
        <f t="shared" si="6"/>
        <v>857278</v>
      </c>
      <c r="BF9" s="135">
        <f t="shared" si="7"/>
        <v>3436312</v>
      </c>
      <c r="BG9" s="129">
        <f t="shared" si="4"/>
        <v>19.894641327983404</v>
      </c>
      <c r="BH9" s="37"/>
      <c r="BI9" s="37">
        <f t="shared" si="24"/>
        <v>857278</v>
      </c>
    </row>
    <row r="10" spans="1:93" s="64" customFormat="1" x14ac:dyDescent="0.55000000000000004">
      <c r="A10" s="138">
        <v>4</v>
      </c>
      <c r="B10" s="128" t="s">
        <v>8</v>
      </c>
      <c r="C10" s="129">
        <f t="shared" si="8"/>
        <v>180000</v>
      </c>
      <c r="D10" s="129"/>
      <c r="E10" s="133">
        <v>70000</v>
      </c>
      <c r="F10" s="129">
        <f t="shared" si="9"/>
        <v>110000</v>
      </c>
      <c r="G10" s="129">
        <f>149000</f>
        <v>149000</v>
      </c>
      <c r="H10" s="133"/>
      <c r="I10" s="133">
        <v>46300</v>
      </c>
      <c r="J10" s="129">
        <f t="shared" si="10"/>
        <v>102700</v>
      </c>
      <c r="K10" s="129">
        <f t="shared" si="11"/>
        <v>340000</v>
      </c>
      <c r="L10" s="133"/>
      <c r="M10" s="133"/>
      <c r="N10" s="129">
        <f t="shared" si="12"/>
        <v>340000</v>
      </c>
      <c r="O10" s="129"/>
      <c r="P10" s="129"/>
      <c r="Q10" s="129"/>
      <c r="R10" s="129">
        <f t="shared" si="13"/>
        <v>0</v>
      </c>
      <c r="S10" s="129">
        <f t="shared" si="14"/>
        <v>950000</v>
      </c>
      <c r="T10" s="133">
        <v>29243.78</v>
      </c>
      <c r="U10" s="133">
        <v>432658.21</v>
      </c>
      <c r="V10" s="129">
        <f t="shared" si="15"/>
        <v>488098.00999999995</v>
      </c>
      <c r="W10" s="129">
        <f>1589000+878890+200000</f>
        <v>2667890</v>
      </c>
      <c r="X10" s="133"/>
      <c r="Y10" s="133">
        <v>1586900</v>
      </c>
      <c r="Z10" s="129">
        <f t="shared" si="16"/>
        <v>1080990</v>
      </c>
      <c r="AA10" s="129"/>
      <c r="AB10" s="129"/>
      <c r="AC10" s="129"/>
      <c r="AD10" s="129">
        <f t="shared" si="17"/>
        <v>0</v>
      </c>
      <c r="AE10" s="129">
        <f>219900-219900</f>
        <v>0</v>
      </c>
      <c r="AF10" s="133"/>
      <c r="AG10" s="133"/>
      <c r="AH10" s="129">
        <f t="shared" si="18"/>
        <v>0</v>
      </c>
      <c r="AI10" s="129">
        <f>70000+30000-25000</f>
        <v>75000</v>
      </c>
      <c r="AJ10" s="129"/>
      <c r="AK10" s="133">
        <v>48400</v>
      </c>
      <c r="AL10" s="129">
        <f t="shared" si="19"/>
        <v>26600</v>
      </c>
      <c r="AM10" s="129">
        <f>40000</f>
        <v>40000</v>
      </c>
      <c r="AN10" s="129"/>
      <c r="AO10" s="133"/>
      <c r="AP10" s="129">
        <f t="shared" si="20"/>
        <v>40000</v>
      </c>
      <c r="AQ10" s="129"/>
      <c r="AR10" s="129"/>
      <c r="AS10" s="129"/>
      <c r="AT10" s="129">
        <f t="shared" si="21"/>
        <v>0</v>
      </c>
      <c r="AU10" s="129"/>
      <c r="AV10" s="129"/>
      <c r="AW10" s="133"/>
      <c r="AX10" s="129">
        <f t="shared" si="22"/>
        <v>0</v>
      </c>
      <c r="AY10" s="129"/>
      <c r="AZ10" s="129"/>
      <c r="BA10" s="129"/>
      <c r="BB10" s="129">
        <f t="shared" si="23"/>
        <v>0</v>
      </c>
      <c r="BC10" s="135">
        <f t="shared" si="1"/>
        <v>4401890</v>
      </c>
      <c r="BD10" s="135">
        <f t="shared" si="5"/>
        <v>29243.78</v>
      </c>
      <c r="BE10" s="135">
        <f t="shared" si="6"/>
        <v>2184258.21</v>
      </c>
      <c r="BF10" s="135">
        <f t="shared" si="7"/>
        <v>2188388.0099999998</v>
      </c>
      <c r="BG10" s="129">
        <f t="shared" si="4"/>
        <v>49.620917605846579</v>
      </c>
      <c r="BH10" s="37">
        <v>9000</v>
      </c>
      <c r="BI10" s="37">
        <f t="shared" si="24"/>
        <v>2193258.21</v>
      </c>
    </row>
    <row r="11" spans="1:93" s="64" customFormat="1" x14ac:dyDescent="0.55000000000000004">
      <c r="A11" s="138">
        <v>5</v>
      </c>
      <c r="B11" s="128" t="s">
        <v>9</v>
      </c>
      <c r="C11" s="129">
        <f t="shared" si="8"/>
        <v>180000</v>
      </c>
      <c r="D11" s="129"/>
      <c r="E11" s="133">
        <v>6510</v>
      </c>
      <c r="F11" s="129">
        <f t="shared" si="9"/>
        <v>173490</v>
      </c>
      <c r="G11" s="129">
        <f>104000</f>
        <v>104000</v>
      </c>
      <c r="H11" s="133"/>
      <c r="I11" s="133">
        <v>17475</v>
      </c>
      <c r="J11" s="129">
        <f t="shared" si="10"/>
        <v>86525</v>
      </c>
      <c r="K11" s="129">
        <f t="shared" si="11"/>
        <v>340000</v>
      </c>
      <c r="L11" s="133"/>
      <c r="M11" s="133"/>
      <c r="N11" s="129">
        <f t="shared" si="12"/>
        <v>340000</v>
      </c>
      <c r="O11" s="129"/>
      <c r="P11" s="129"/>
      <c r="Q11" s="129"/>
      <c r="R11" s="129">
        <f t="shared" si="13"/>
        <v>0</v>
      </c>
      <c r="S11" s="129">
        <f t="shared" si="14"/>
        <v>950000</v>
      </c>
      <c r="T11" s="133"/>
      <c r="U11" s="133">
        <v>522036.62</v>
      </c>
      <c r="V11" s="129">
        <f t="shared" si="15"/>
        <v>427963.38</v>
      </c>
      <c r="W11" s="129">
        <f>1529000+878890+200000</f>
        <v>2607890</v>
      </c>
      <c r="X11" s="133">
        <v>89717</v>
      </c>
      <c r="Y11" s="133">
        <v>1828870.89</v>
      </c>
      <c r="Z11" s="129">
        <f t="shared" si="16"/>
        <v>689302.1100000001</v>
      </c>
      <c r="AA11" s="129"/>
      <c r="AB11" s="129"/>
      <c r="AC11" s="129"/>
      <c r="AD11" s="129">
        <f t="shared" si="17"/>
        <v>0</v>
      </c>
      <c r="AE11" s="129">
        <f>190000-190000</f>
        <v>0</v>
      </c>
      <c r="AF11" s="133"/>
      <c r="AG11" s="133"/>
      <c r="AH11" s="129">
        <f t="shared" si="18"/>
        <v>0</v>
      </c>
      <c r="AI11" s="129">
        <f>70000+30000-26000</f>
        <v>74000</v>
      </c>
      <c r="AJ11" s="129"/>
      <c r="AK11" s="133">
        <v>42788</v>
      </c>
      <c r="AL11" s="129">
        <f t="shared" si="19"/>
        <v>31212</v>
      </c>
      <c r="AM11" s="129">
        <f>40000</f>
        <v>40000</v>
      </c>
      <c r="AN11" s="129"/>
      <c r="AO11" s="133">
        <v>40000</v>
      </c>
      <c r="AP11" s="129">
        <f t="shared" si="20"/>
        <v>0</v>
      </c>
      <c r="AQ11" s="129"/>
      <c r="AR11" s="129"/>
      <c r="AS11" s="129"/>
      <c r="AT11" s="129">
        <f t="shared" si="21"/>
        <v>0</v>
      </c>
      <c r="AU11" s="129"/>
      <c r="AV11" s="129"/>
      <c r="AW11" s="133"/>
      <c r="AX11" s="129">
        <f t="shared" si="22"/>
        <v>0</v>
      </c>
      <c r="AY11" s="129"/>
      <c r="AZ11" s="129"/>
      <c r="BA11" s="129"/>
      <c r="BB11" s="129">
        <f t="shared" si="23"/>
        <v>0</v>
      </c>
      <c r="BC11" s="135">
        <f t="shared" si="1"/>
        <v>4295890</v>
      </c>
      <c r="BD11" s="135">
        <f t="shared" si="5"/>
        <v>89717</v>
      </c>
      <c r="BE11" s="135">
        <f t="shared" si="6"/>
        <v>2457680.5099999998</v>
      </c>
      <c r="BF11" s="135">
        <f t="shared" si="7"/>
        <v>1748492.4900000002</v>
      </c>
      <c r="BG11" s="129">
        <f t="shared" si="4"/>
        <v>57.210042854914803</v>
      </c>
      <c r="BH11" s="37"/>
      <c r="BI11" s="37">
        <f t="shared" si="24"/>
        <v>2457680.5099999998</v>
      </c>
    </row>
    <row r="12" spans="1:93" s="64" customFormat="1" x14ac:dyDescent="0.55000000000000004">
      <c r="A12" s="138">
        <v>6</v>
      </c>
      <c r="B12" s="128" t="s">
        <v>10</v>
      </c>
      <c r="C12" s="129">
        <f t="shared" si="8"/>
        <v>180000</v>
      </c>
      <c r="D12" s="129"/>
      <c r="E12" s="133">
        <v>95000</v>
      </c>
      <c r="F12" s="129">
        <f t="shared" si="9"/>
        <v>85000</v>
      </c>
      <c r="G12" s="129">
        <f>124000</f>
        <v>124000</v>
      </c>
      <c r="H12" s="133"/>
      <c r="I12" s="133">
        <v>104000</v>
      </c>
      <c r="J12" s="129">
        <f t="shared" si="10"/>
        <v>20000</v>
      </c>
      <c r="K12" s="129">
        <f t="shared" si="11"/>
        <v>340000</v>
      </c>
      <c r="L12" s="133"/>
      <c r="M12" s="133"/>
      <c r="N12" s="129">
        <f t="shared" si="12"/>
        <v>340000</v>
      </c>
      <c r="O12" s="129"/>
      <c r="P12" s="129"/>
      <c r="Q12" s="129"/>
      <c r="R12" s="129">
        <f t="shared" si="13"/>
        <v>0</v>
      </c>
      <c r="S12" s="129">
        <f t="shared" si="14"/>
        <v>950000</v>
      </c>
      <c r="T12" s="133"/>
      <c r="U12" s="133">
        <v>513633</v>
      </c>
      <c r="V12" s="129">
        <f t="shared" si="15"/>
        <v>436367</v>
      </c>
      <c r="W12" s="129">
        <f>1589000+878890+200000</f>
        <v>2667890</v>
      </c>
      <c r="X12" s="133"/>
      <c r="Y12" s="133">
        <v>593726.25</v>
      </c>
      <c r="Z12" s="129">
        <f t="shared" si="16"/>
        <v>2074163.75</v>
      </c>
      <c r="AA12" s="129"/>
      <c r="AB12" s="129"/>
      <c r="AC12" s="129"/>
      <c r="AD12" s="129">
        <f t="shared" si="17"/>
        <v>0</v>
      </c>
      <c r="AE12" s="129">
        <f>220000-220000</f>
        <v>0</v>
      </c>
      <c r="AF12" s="133"/>
      <c r="AG12" s="133"/>
      <c r="AH12" s="129">
        <f t="shared" si="18"/>
        <v>0</v>
      </c>
      <c r="AI12" s="129">
        <f>70000+30000-20000</f>
        <v>80000</v>
      </c>
      <c r="AJ12" s="129"/>
      <c r="AK12" s="133">
        <v>58722</v>
      </c>
      <c r="AL12" s="129">
        <f t="shared" si="19"/>
        <v>21278</v>
      </c>
      <c r="AM12" s="129">
        <f>40000</f>
        <v>40000</v>
      </c>
      <c r="AN12" s="129"/>
      <c r="AO12" s="133"/>
      <c r="AP12" s="129">
        <f t="shared" si="20"/>
        <v>40000</v>
      </c>
      <c r="AQ12" s="129"/>
      <c r="AR12" s="129"/>
      <c r="AS12" s="129"/>
      <c r="AT12" s="129">
        <f t="shared" si="21"/>
        <v>0</v>
      </c>
      <c r="AU12" s="129"/>
      <c r="AV12" s="129"/>
      <c r="AW12" s="133"/>
      <c r="AX12" s="129">
        <f t="shared" si="22"/>
        <v>0</v>
      </c>
      <c r="AY12" s="129"/>
      <c r="AZ12" s="129"/>
      <c r="BA12" s="129"/>
      <c r="BB12" s="129">
        <f t="shared" si="23"/>
        <v>0</v>
      </c>
      <c r="BC12" s="135">
        <f t="shared" si="1"/>
        <v>4381890</v>
      </c>
      <c r="BD12" s="135">
        <f t="shared" si="5"/>
        <v>0</v>
      </c>
      <c r="BE12" s="135">
        <f t="shared" si="6"/>
        <v>1365081.25</v>
      </c>
      <c r="BF12" s="135">
        <f t="shared" si="7"/>
        <v>3016808.75</v>
      </c>
      <c r="BG12" s="129">
        <f t="shared" si="4"/>
        <v>31.152795939651611</v>
      </c>
      <c r="BH12" s="37">
        <v>20000</v>
      </c>
      <c r="BI12" s="37">
        <f t="shared" si="24"/>
        <v>1385081.25</v>
      </c>
    </row>
    <row r="13" spans="1:93" s="64" customFormat="1" x14ac:dyDescent="0.55000000000000004">
      <c r="A13" s="138">
        <v>7</v>
      </c>
      <c r="B13" s="128" t="s">
        <v>11</v>
      </c>
      <c r="C13" s="129">
        <f t="shared" si="8"/>
        <v>180000</v>
      </c>
      <c r="D13" s="129"/>
      <c r="E13" s="133">
        <v>179950</v>
      </c>
      <c r="F13" s="129">
        <f t="shared" si="9"/>
        <v>50</v>
      </c>
      <c r="G13" s="129">
        <f>99000</f>
        <v>99000</v>
      </c>
      <c r="H13" s="133"/>
      <c r="I13" s="133"/>
      <c r="J13" s="129">
        <f t="shared" si="10"/>
        <v>99000</v>
      </c>
      <c r="K13" s="129">
        <f t="shared" si="11"/>
        <v>340000</v>
      </c>
      <c r="L13" s="133"/>
      <c r="M13" s="133"/>
      <c r="N13" s="129">
        <f t="shared" si="12"/>
        <v>340000</v>
      </c>
      <c r="O13" s="129"/>
      <c r="P13" s="129"/>
      <c r="Q13" s="129"/>
      <c r="R13" s="129">
        <f t="shared" si="13"/>
        <v>0</v>
      </c>
      <c r="S13" s="129">
        <f t="shared" si="14"/>
        <v>950000</v>
      </c>
      <c r="T13" s="133"/>
      <c r="U13" s="133">
        <v>349798.21</v>
      </c>
      <c r="V13" s="129">
        <f t="shared" si="15"/>
        <v>600201.79</v>
      </c>
      <c r="W13" s="129">
        <f>1529000+878890</f>
        <v>2407890</v>
      </c>
      <c r="X13" s="133"/>
      <c r="Y13" s="133">
        <v>1264081.6000000001</v>
      </c>
      <c r="Z13" s="129">
        <f t="shared" si="16"/>
        <v>1143808.3999999999</v>
      </c>
      <c r="AA13" s="129"/>
      <c r="AB13" s="129"/>
      <c r="AC13" s="129"/>
      <c r="AD13" s="129">
        <f t="shared" si="17"/>
        <v>0</v>
      </c>
      <c r="AE13" s="129">
        <f>153400-153400</f>
        <v>0</v>
      </c>
      <c r="AF13" s="133"/>
      <c r="AG13" s="133"/>
      <c r="AH13" s="129">
        <f t="shared" si="18"/>
        <v>0</v>
      </c>
      <c r="AI13" s="129">
        <f>70000+30000-20000</f>
        <v>80000</v>
      </c>
      <c r="AJ13" s="129"/>
      <c r="AK13" s="133">
        <v>59689</v>
      </c>
      <c r="AL13" s="129">
        <f t="shared" si="19"/>
        <v>20311</v>
      </c>
      <c r="AM13" s="129">
        <f>40000</f>
        <v>40000</v>
      </c>
      <c r="AN13" s="129"/>
      <c r="AO13" s="133"/>
      <c r="AP13" s="129">
        <f t="shared" si="20"/>
        <v>40000</v>
      </c>
      <c r="AQ13" s="129"/>
      <c r="AR13" s="129"/>
      <c r="AS13" s="129"/>
      <c r="AT13" s="129">
        <f t="shared" si="21"/>
        <v>0</v>
      </c>
      <c r="AU13" s="129"/>
      <c r="AV13" s="129"/>
      <c r="AW13" s="133"/>
      <c r="AX13" s="129">
        <f t="shared" si="22"/>
        <v>0</v>
      </c>
      <c r="AY13" s="129"/>
      <c r="AZ13" s="129"/>
      <c r="BA13" s="129"/>
      <c r="BB13" s="129">
        <f t="shared" si="23"/>
        <v>0</v>
      </c>
      <c r="BC13" s="135">
        <f t="shared" si="1"/>
        <v>4096890</v>
      </c>
      <c r="BD13" s="135">
        <f t="shared" si="5"/>
        <v>0</v>
      </c>
      <c r="BE13" s="135">
        <f t="shared" si="6"/>
        <v>1853518.81</v>
      </c>
      <c r="BF13" s="135">
        <f t="shared" si="7"/>
        <v>2243371.19</v>
      </c>
      <c r="BG13" s="129">
        <f t="shared" si="4"/>
        <v>45.242093636880661</v>
      </c>
      <c r="BH13" s="37">
        <v>9725</v>
      </c>
      <c r="BI13" s="37">
        <f t="shared" si="24"/>
        <v>1863243.81</v>
      </c>
    </row>
    <row r="14" spans="1:93" s="64" customFormat="1" x14ac:dyDescent="0.55000000000000004">
      <c r="A14" s="138">
        <v>8</v>
      </c>
      <c r="B14" s="128" t="s">
        <v>12</v>
      </c>
      <c r="C14" s="129">
        <f t="shared" si="8"/>
        <v>180000</v>
      </c>
      <c r="D14" s="129"/>
      <c r="E14" s="133">
        <v>37000</v>
      </c>
      <c r="F14" s="129">
        <f t="shared" si="9"/>
        <v>143000</v>
      </c>
      <c r="G14" s="129">
        <f>109000</f>
        <v>109000</v>
      </c>
      <c r="H14" s="133"/>
      <c r="I14" s="133">
        <v>92550</v>
      </c>
      <c r="J14" s="129">
        <f t="shared" si="10"/>
        <v>16450</v>
      </c>
      <c r="K14" s="129">
        <f t="shared" si="11"/>
        <v>340000</v>
      </c>
      <c r="L14" s="133"/>
      <c r="M14" s="133">
        <v>337600</v>
      </c>
      <c r="N14" s="129">
        <f t="shared" si="12"/>
        <v>2400</v>
      </c>
      <c r="O14" s="129"/>
      <c r="P14" s="129"/>
      <c r="Q14" s="129"/>
      <c r="R14" s="129">
        <f t="shared" si="13"/>
        <v>0</v>
      </c>
      <c r="S14" s="129">
        <f t="shared" si="14"/>
        <v>950000</v>
      </c>
      <c r="T14" s="133">
        <v>7200</v>
      </c>
      <c r="U14" s="133">
        <v>462280.94</v>
      </c>
      <c r="V14" s="129">
        <f t="shared" si="15"/>
        <v>480519.06</v>
      </c>
      <c r="W14" s="129">
        <f>1529000+878890+151000</f>
        <v>2558890</v>
      </c>
      <c r="X14" s="133"/>
      <c r="Y14" s="133">
        <v>1503030</v>
      </c>
      <c r="Z14" s="129">
        <f t="shared" si="16"/>
        <v>1055860</v>
      </c>
      <c r="AA14" s="129"/>
      <c r="AB14" s="129"/>
      <c r="AC14" s="129"/>
      <c r="AD14" s="129">
        <f t="shared" si="17"/>
        <v>0</v>
      </c>
      <c r="AE14" s="129">
        <f>169200-28765</f>
        <v>140435</v>
      </c>
      <c r="AF14" s="133"/>
      <c r="AG14" s="133">
        <v>140435</v>
      </c>
      <c r="AH14" s="129">
        <f t="shared" si="18"/>
        <v>0</v>
      </c>
      <c r="AI14" s="129">
        <f>70000+30000-45000</f>
        <v>55000</v>
      </c>
      <c r="AJ14" s="129"/>
      <c r="AK14" s="133">
        <v>4892</v>
      </c>
      <c r="AL14" s="129">
        <f t="shared" si="19"/>
        <v>50108</v>
      </c>
      <c r="AM14" s="129">
        <f>40000</f>
        <v>40000</v>
      </c>
      <c r="AN14" s="129"/>
      <c r="AO14" s="133">
        <v>40000</v>
      </c>
      <c r="AP14" s="129">
        <f t="shared" si="20"/>
        <v>0</v>
      </c>
      <c r="AQ14" s="129"/>
      <c r="AR14" s="129"/>
      <c r="AS14" s="129"/>
      <c r="AT14" s="129">
        <f t="shared" si="21"/>
        <v>0</v>
      </c>
      <c r="AU14" s="129"/>
      <c r="AV14" s="129"/>
      <c r="AW14" s="133"/>
      <c r="AX14" s="129">
        <f t="shared" si="22"/>
        <v>0</v>
      </c>
      <c r="AY14" s="129"/>
      <c r="AZ14" s="129"/>
      <c r="BA14" s="129"/>
      <c r="BB14" s="129">
        <f t="shared" si="23"/>
        <v>0</v>
      </c>
      <c r="BC14" s="135">
        <f t="shared" si="1"/>
        <v>4373325</v>
      </c>
      <c r="BD14" s="135">
        <f t="shared" si="5"/>
        <v>7200</v>
      </c>
      <c r="BE14" s="135">
        <f t="shared" si="6"/>
        <v>2617787.94</v>
      </c>
      <c r="BF14" s="135">
        <f t="shared" si="7"/>
        <v>1748337.06</v>
      </c>
      <c r="BG14" s="129">
        <f t="shared" si="4"/>
        <v>59.85807000394437</v>
      </c>
      <c r="BH14" s="37">
        <v>5560</v>
      </c>
      <c r="BI14" s="37">
        <f t="shared" si="24"/>
        <v>2623347.94</v>
      </c>
    </row>
    <row r="15" spans="1:93" s="64" customFormat="1" x14ac:dyDescent="0.55000000000000004">
      <c r="A15" s="138">
        <v>9</v>
      </c>
      <c r="B15" s="128" t="s">
        <v>13</v>
      </c>
      <c r="C15" s="129">
        <f t="shared" si="8"/>
        <v>180000</v>
      </c>
      <c r="D15" s="129"/>
      <c r="E15" s="133">
        <v>60000</v>
      </c>
      <c r="F15" s="129">
        <f t="shared" si="9"/>
        <v>120000</v>
      </c>
      <c r="G15" s="129">
        <f>134000</f>
        <v>134000</v>
      </c>
      <c r="H15" s="133"/>
      <c r="I15" s="133">
        <v>134000</v>
      </c>
      <c r="J15" s="129">
        <f t="shared" si="10"/>
        <v>0</v>
      </c>
      <c r="K15" s="129">
        <f t="shared" si="11"/>
        <v>340000</v>
      </c>
      <c r="L15" s="133"/>
      <c r="M15" s="133">
        <v>310000</v>
      </c>
      <c r="N15" s="129">
        <f t="shared" si="12"/>
        <v>30000</v>
      </c>
      <c r="O15" s="129"/>
      <c r="P15" s="129"/>
      <c r="Q15" s="129"/>
      <c r="R15" s="129">
        <f t="shared" si="13"/>
        <v>0</v>
      </c>
      <c r="S15" s="129">
        <f t="shared" si="14"/>
        <v>950000</v>
      </c>
      <c r="T15" s="133">
        <v>18000</v>
      </c>
      <c r="U15" s="133">
        <v>554521.07999999996</v>
      </c>
      <c r="V15" s="129">
        <f t="shared" si="15"/>
        <v>377478.92000000004</v>
      </c>
      <c r="W15" s="129">
        <f>1529000+878890+166000</f>
        <v>2573890</v>
      </c>
      <c r="X15" s="133">
        <v>920500</v>
      </c>
      <c r="Y15" s="133">
        <v>1486300</v>
      </c>
      <c r="Z15" s="129">
        <f t="shared" si="16"/>
        <v>167090</v>
      </c>
      <c r="AA15" s="129"/>
      <c r="AB15" s="129"/>
      <c r="AC15" s="129"/>
      <c r="AD15" s="129">
        <f t="shared" si="17"/>
        <v>0</v>
      </c>
      <c r="AE15" s="129">
        <f>220000-220000</f>
        <v>0</v>
      </c>
      <c r="AF15" s="133"/>
      <c r="AG15" s="133"/>
      <c r="AH15" s="129">
        <f t="shared" si="18"/>
        <v>0</v>
      </c>
      <c r="AI15" s="129">
        <f>70000+30000-40000</f>
        <v>60000</v>
      </c>
      <c r="AJ15" s="129"/>
      <c r="AK15" s="133">
        <v>17440</v>
      </c>
      <c r="AL15" s="129">
        <f t="shared" si="19"/>
        <v>42560</v>
      </c>
      <c r="AM15" s="129">
        <f>40000</f>
        <v>40000</v>
      </c>
      <c r="AN15" s="129"/>
      <c r="AO15" s="133"/>
      <c r="AP15" s="129">
        <f t="shared" si="20"/>
        <v>40000</v>
      </c>
      <c r="AQ15" s="129"/>
      <c r="AR15" s="129"/>
      <c r="AS15" s="129"/>
      <c r="AT15" s="129">
        <f t="shared" si="21"/>
        <v>0</v>
      </c>
      <c r="AU15" s="129"/>
      <c r="AV15" s="129"/>
      <c r="AW15" s="133"/>
      <c r="AX15" s="129">
        <f t="shared" si="22"/>
        <v>0</v>
      </c>
      <c r="AY15" s="129"/>
      <c r="AZ15" s="129"/>
      <c r="BA15" s="129"/>
      <c r="BB15" s="129">
        <f t="shared" si="23"/>
        <v>0</v>
      </c>
      <c r="BC15" s="135">
        <f t="shared" si="1"/>
        <v>4277890</v>
      </c>
      <c r="BD15" s="135">
        <f t="shared" si="5"/>
        <v>938500</v>
      </c>
      <c r="BE15" s="135">
        <f t="shared" si="6"/>
        <v>2562261.08</v>
      </c>
      <c r="BF15" s="135">
        <f t="shared" si="7"/>
        <v>777128.92</v>
      </c>
      <c r="BG15" s="129">
        <f t="shared" si="4"/>
        <v>59.89544097674321</v>
      </c>
      <c r="BH15" s="37">
        <v>3725</v>
      </c>
      <c r="BI15" s="37">
        <f t="shared" si="24"/>
        <v>2565986.08</v>
      </c>
    </row>
    <row r="16" spans="1:93" s="64" customFormat="1" x14ac:dyDescent="0.55000000000000004">
      <c r="A16" s="138">
        <v>10</v>
      </c>
      <c r="B16" s="128" t="s">
        <v>14</v>
      </c>
      <c r="C16" s="129">
        <f t="shared" si="8"/>
        <v>180000</v>
      </c>
      <c r="D16" s="129"/>
      <c r="E16" s="133">
        <v>30000</v>
      </c>
      <c r="F16" s="129">
        <f t="shared" si="9"/>
        <v>150000</v>
      </c>
      <c r="G16" s="129">
        <f>125700</f>
        <v>125700</v>
      </c>
      <c r="H16" s="133"/>
      <c r="I16" s="133">
        <v>55932</v>
      </c>
      <c r="J16" s="129">
        <f t="shared" si="10"/>
        <v>69768</v>
      </c>
      <c r="K16" s="129">
        <f t="shared" si="11"/>
        <v>340000</v>
      </c>
      <c r="L16" s="133"/>
      <c r="M16" s="133">
        <v>340000</v>
      </c>
      <c r="N16" s="129">
        <f t="shared" si="12"/>
        <v>0</v>
      </c>
      <c r="O16" s="129"/>
      <c r="P16" s="129"/>
      <c r="Q16" s="129"/>
      <c r="R16" s="129">
        <f t="shared" si="13"/>
        <v>0</v>
      </c>
      <c r="S16" s="129">
        <f t="shared" si="14"/>
        <v>950000</v>
      </c>
      <c r="T16" s="133">
        <v>15000</v>
      </c>
      <c r="U16" s="133">
        <v>421219.72</v>
      </c>
      <c r="V16" s="129">
        <f t="shared" si="15"/>
        <v>513780.28</v>
      </c>
      <c r="W16" s="129">
        <f>1589000+878890</f>
        <v>2467890</v>
      </c>
      <c r="X16" s="133"/>
      <c r="Y16" s="133">
        <v>1588000</v>
      </c>
      <c r="Z16" s="129">
        <f t="shared" si="16"/>
        <v>879890</v>
      </c>
      <c r="AA16" s="129"/>
      <c r="AB16" s="129"/>
      <c r="AC16" s="129"/>
      <c r="AD16" s="129">
        <f t="shared" si="17"/>
        <v>0</v>
      </c>
      <c r="AE16" s="129">
        <f>190800-190800</f>
        <v>0</v>
      </c>
      <c r="AF16" s="133"/>
      <c r="AG16" s="133"/>
      <c r="AH16" s="129">
        <f t="shared" si="18"/>
        <v>0</v>
      </c>
      <c r="AI16" s="129">
        <f>70000+30000-21000</f>
        <v>79000</v>
      </c>
      <c r="AJ16" s="129"/>
      <c r="AK16" s="133">
        <v>56787</v>
      </c>
      <c r="AL16" s="129">
        <f t="shared" si="19"/>
        <v>22213</v>
      </c>
      <c r="AM16" s="129">
        <f>40000</f>
        <v>40000</v>
      </c>
      <c r="AN16" s="129"/>
      <c r="AO16" s="133"/>
      <c r="AP16" s="129">
        <f t="shared" si="20"/>
        <v>40000</v>
      </c>
      <c r="AQ16" s="129"/>
      <c r="AR16" s="129"/>
      <c r="AS16" s="129"/>
      <c r="AT16" s="129">
        <f t="shared" si="21"/>
        <v>0</v>
      </c>
      <c r="AU16" s="129"/>
      <c r="AV16" s="129"/>
      <c r="AW16" s="133"/>
      <c r="AX16" s="129">
        <f t="shared" si="22"/>
        <v>0</v>
      </c>
      <c r="AY16" s="129"/>
      <c r="AZ16" s="129"/>
      <c r="BA16" s="129"/>
      <c r="BB16" s="129">
        <f t="shared" si="23"/>
        <v>0</v>
      </c>
      <c r="BC16" s="135">
        <f t="shared" si="1"/>
        <v>4182590</v>
      </c>
      <c r="BD16" s="135">
        <f t="shared" si="5"/>
        <v>15000</v>
      </c>
      <c r="BE16" s="135">
        <f t="shared" si="6"/>
        <v>2491938.7199999997</v>
      </c>
      <c r="BF16" s="135">
        <f t="shared" si="7"/>
        <v>1675651.28</v>
      </c>
      <c r="BG16" s="129">
        <f t="shared" si="4"/>
        <v>59.578842774453143</v>
      </c>
      <c r="BH16" s="37">
        <v>24345</v>
      </c>
      <c r="BI16" s="37">
        <f t="shared" si="24"/>
        <v>2516283.7199999997</v>
      </c>
    </row>
    <row r="17" spans="1:61" s="64" customFormat="1" x14ac:dyDescent="0.55000000000000004">
      <c r="A17" s="138">
        <v>11</v>
      </c>
      <c r="B17" s="128" t="s">
        <v>15</v>
      </c>
      <c r="C17" s="129">
        <f t="shared" si="8"/>
        <v>180000</v>
      </c>
      <c r="D17" s="129"/>
      <c r="E17" s="133">
        <v>32400</v>
      </c>
      <c r="F17" s="129">
        <f t="shared" si="9"/>
        <v>147600</v>
      </c>
      <c r="G17" s="129">
        <f>109000</f>
        <v>109000</v>
      </c>
      <c r="H17" s="133"/>
      <c r="I17" s="133">
        <v>108999.94</v>
      </c>
      <c r="J17" s="129">
        <f t="shared" si="10"/>
        <v>5.9999999997671694E-2</v>
      </c>
      <c r="K17" s="129">
        <f t="shared" si="11"/>
        <v>340000</v>
      </c>
      <c r="L17" s="133"/>
      <c r="M17" s="133"/>
      <c r="N17" s="129">
        <f t="shared" si="12"/>
        <v>340000</v>
      </c>
      <c r="O17" s="129"/>
      <c r="P17" s="129"/>
      <c r="Q17" s="129"/>
      <c r="R17" s="129">
        <f t="shared" si="13"/>
        <v>0</v>
      </c>
      <c r="S17" s="129">
        <f t="shared" si="14"/>
        <v>950000</v>
      </c>
      <c r="T17" s="133"/>
      <c r="U17" s="133">
        <v>509947.96</v>
      </c>
      <c r="V17" s="129">
        <f t="shared" si="15"/>
        <v>440052.04</v>
      </c>
      <c r="W17" s="129">
        <f>1529000+498000+878890</f>
        <v>2905890</v>
      </c>
      <c r="X17" s="133"/>
      <c r="Y17" s="133">
        <v>2027000</v>
      </c>
      <c r="Z17" s="129">
        <f t="shared" si="16"/>
        <v>878890</v>
      </c>
      <c r="AA17" s="129"/>
      <c r="AB17" s="129"/>
      <c r="AC17" s="129"/>
      <c r="AD17" s="129">
        <f t="shared" si="17"/>
        <v>0</v>
      </c>
      <c r="AE17" s="129">
        <f>190000-190000</f>
        <v>0</v>
      </c>
      <c r="AF17" s="133"/>
      <c r="AG17" s="133"/>
      <c r="AH17" s="129">
        <f t="shared" si="18"/>
        <v>0</v>
      </c>
      <c r="AI17" s="129">
        <f>70000+30000-30000</f>
        <v>70000</v>
      </c>
      <c r="AJ17" s="129"/>
      <c r="AK17" s="133">
        <v>40000</v>
      </c>
      <c r="AL17" s="129">
        <f t="shared" si="19"/>
        <v>30000</v>
      </c>
      <c r="AM17" s="129">
        <f>40000</f>
        <v>40000</v>
      </c>
      <c r="AN17" s="129"/>
      <c r="AO17" s="133">
        <v>40000</v>
      </c>
      <c r="AP17" s="129">
        <f t="shared" si="20"/>
        <v>0</v>
      </c>
      <c r="AQ17" s="129"/>
      <c r="AR17" s="129"/>
      <c r="AS17" s="129"/>
      <c r="AT17" s="129">
        <f t="shared" si="21"/>
        <v>0</v>
      </c>
      <c r="AU17" s="129"/>
      <c r="AV17" s="129"/>
      <c r="AW17" s="133"/>
      <c r="AX17" s="129">
        <f t="shared" si="22"/>
        <v>0</v>
      </c>
      <c r="AY17" s="129"/>
      <c r="AZ17" s="129"/>
      <c r="BA17" s="129"/>
      <c r="BB17" s="129">
        <f t="shared" si="23"/>
        <v>0</v>
      </c>
      <c r="BC17" s="135">
        <f t="shared" si="1"/>
        <v>4594890</v>
      </c>
      <c r="BD17" s="135">
        <f t="shared" si="5"/>
        <v>0</v>
      </c>
      <c r="BE17" s="135">
        <f t="shared" si="6"/>
        <v>2758347.9</v>
      </c>
      <c r="BF17" s="135">
        <f t="shared" si="7"/>
        <v>1836542.1</v>
      </c>
      <c r="BG17" s="129">
        <f t="shared" si="4"/>
        <v>60.030771139243811</v>
      </c>
      <c r="BH17" s="37">
        <v>12420</v>
      </c>
      <c r="BI17" s="37">
        <f t="shared" si="24"/>
        <v>2770767.9</v>
      </c>
    </row>
    <row r="18" spans="1:61" s="64" customFormat="1" x14ac:dyDescent="0.55000000000000004">
      <c r="A18" s="138">
        <v>12</v>
      </c>
      <c r="B18" s="128" t="s">
        <v>16</v>
      </c>
      <c r="C18" s="129">
        <f t="shared" si="8"/>
        <v>180000</v>
      </c>
      <c r="D18" s="129"/>
      <c r="E18" s="133">
        <v>117700</v>
      </c>
      <c r="F18" s="129">
        <f t="shared" si="9"/>
        <v>62300</v>
      </c>
      <c r="G18" s="129">
        <f>119000</f>
        <v>119000</v>
      </c>
      <c r="H18" s="133"/>
      <c r="I18" s="133">
        <f>19900+31808.63</f>
        <v>51708.630000000005</v>
      </c>
      <c r="J18" s="129">
        <f t="shared" si="10"/>
        <v>67291.37</v>
      </c>
      <c r="K18" s="129">
        <f t="shared" si="11"/>
        <v>340000</v>
      </c>
      <c r="L18" s="133"/>
      <c r="M18" s="133"/>
      <c r="N18" s="129">
        <f t="shared" si="12"/>
        <v>340000</v>
      </c>
      <c r="O18" s="129"/>
      <c r="P18" s="129"/>
      <c r="Q18" s="129"/>
      <c r="R18" s="129">
        <f t="shared" si="13"/>
        <v>0</v>
      </c>
      <c r="S18" s="129">
        <f t="shared" si="14"/>
        <v>950000</v>
      </c>
      <c r="T18" s="133"/>
      <c r="U18" s="133">
        <v>509013.64</v>
      </c>
      <c r="V18" s="129">
        <f t="shared" si="15"/>
        <v>440986.36</v>
      </c>
      <c r="W18" s="129">
        <f>1589000+878890</f>
        <v>2467890</v>
      </c>
      <c r="X18" s="133"/>
      <c r="Y18" s="133">
        <f>995000+500000</f>
        <v>1495000</v>
      </c>
      <c r="Z18" s="129">
        <f t="shared" si="16"/>
        <v>972890</v>
      </c>
      <c r="AA18" s="129"/>
      <c r="AB18" s="129"/>
      <c r="AC18" s="129"/>
      <c r="AD18" s="129">
        <f t="shared" si="17"/>
        <v>0</v>
      </c>
      <c r="AE18" s="129">
        <f>190000-12396</f>
        <v>177604</v>
      </c>
      <c r="AF18" s="133"/>
      <c r="AG18" s="133">
        <v>177604</v>
      </c>
      <c r="AH18" s="129">
        <f t="shared" si="18"/>
        <v>0</v>
      </c>
      <c r="AI18" s="129">
        <f>70000+30000-22000</f>
        <v>78000</v>
      </c>
      <c r="AJ18" s="129"/>
      <c r="AK18" s="133">
        <v>50845</v>
      </c>
      <c r="AL18" s="129">
        <f t="shared" si="19"/>
        <v>27155</v>
      </c>
      <c r="AM18" s="129">
        <f>40000</f>
        <v>40000</v>
      </c>
      <c r="AN18" s="129"/>
      <c r="AO18" s="133"/>
      <c r="AP18" s="129">
        <f t="shared" si="20"/>
        <v>40000</v>
      </c>
      <c r="AQ18" s="129"/>
      <c r="AR18" s="129"/>
      <c r="AS18" s="129"/>
      <c r="AT18" s="129">
        <f t="shared" si="21"/>
        <v>0</v>
      </c>
      <c r="AU18" s="129"/>
      <c r="AV18" s="129"/>
      <c r="AW18" s="133"/>
      <c r="AX18" s="129">
        <f t="shared" si="22"/>
        <v>0</v>
      </c>
      <c r="AY18" s="129"/>
      <c r="AZ18" s="129"/>
      <c r="BA18" s="129"/>
      <c r="BB18" s="129">
        <f t="shared" si="23"/>
        <v>0</v>
      </c>
      <c r="BC18" s="135">
        <f t="shared" si="1"/>
        <v>4352494</v>
      </c>
      <c r="BD18" s="135">
        <f t="shared" si="5"/>
        <v>0</v>
      </c>
      <c r="BE18" s="135">
        <f t="shared" si="6"/>
        <v>2401871.27</v>
      </c>
      <c r="BF18" s="135">
        <f t="shared" si="7"/>
        <v>1950622.73</v>
      </c>
      <c r="BG18" s="129">
        <f t="shared" si="4"/>
        <v>55.183792786388679</v>
      </c>
      <c r="BH18" s="37">
        <v>11900</v>
      </c>
      <c r="BI18" s="37">
        <f t="shared" si="24"/>
        <v>2413771.27</v>
      </c>
    </row>
    <row r="19" spans="1:61" s="64" customFormat="1" x14ac:dyDescent="0.55000000000000004">
      <c r="A19" s="138">
        <v>13</v>
      </c>
      <c r="B19" s="128" t="s">
        <v>17</v>
      </c>
      <c r="C19" s="129">
        <f t="shared" si="8"/>
        <v>180000</v>
      </c>
      <c r="D19" s="129"/>
      <c r="E19" s="133">
        <v>65960</v>
      </c>
      <c r="F19" s="129">
        <f t="shared" si="9"/>
        <v>114040</v>
      </c>
      <c r="G19" s="129">
        <f>104000</f>
        <v>104000</v>
      </c>
      <c r="H19" s="133"/>
      <c r="I19" s="133">
        <v>89266</v>
      </c>
      <c r="J19" s="129">
        <f t="shared" si="10"/>
        <v>14734</v>
      </c>
      <c r="K19" s="129">
        <f t="shared" si="11"/>
        <v>340000</v>
      </c>
      <c r="L19" s="133"/>
      <c r="M19" s="133">
        <v>340000</v>
      </c>
      <c r="N19" s="129">
        <f t="shared" si="12"/>
        <v>0</v>
      </c>
      <c r="O19" s="129">
        <f>200000+200000</f>
        <v>400000</v>
      </c>
      <c r="P19" s="129"/>
      <c r="Q19" s="129">
        <v>170660</v>
      </c>
      <c r="R19" s="129">
        <f t="shared" si="13"/>
        <v>229340</v>
      </c>
      <c r="S19" s="129">
        <f t="shared" si="14"/>
        <v>950000</v>
      </c>
      <c r="T19" s="133">
        <v>15000</v>
      </c>
      <c r="U19" s="133">
        <v>480149.4</v>
      </c>
      <c r="V19" s="129">
        <f t="shared" si="15"/>
        <v>454850.6</v>
      </c>
      <c r="W19" s="129">
        <f>1529000+878890</f>
        <v>2407890</v>
      </c>
      <c r="X19" s="133"/>
      <c r="Y19" s="133">
        <v>797600</v>
      </c>
      <c r="Z19" s="129">
        <f t="shared" si="16"/>
        <v>1610290</v>
      </c>
      <c r="AA19" s="129"/>
      <c r="AB19" s="129"/>
      <c r="AC19" s="129"/>
      <c r="AD19" s="129">
        <f t="shared" si="17"/>
        <v>0</v>
      </c>
      <c r="AE19" s="129">
        <f>154000-119580</f>
        <v>34420</v>
      </c>
      <c r="AF19" s="133"/>
      <c r="AG19" s="133">
        <v>34420</v>
      </c>
      <c r="AH19" s="129">
        <f t="shared" si="18"/>
        <v>0</v>
      </c>
      <c r="AI19" s="129">
        <f>70000+30000-25000</f>
        <v>75000</v>
      </c>
      <c r="AJ19" s="129"/>
      <c r="AK19" s="133">
        <v>40376</v>
      </c>
      <c r="AL19" s="129">
        <f t="shared" si="19"/>
        <v>34624</v>
      </c>
      <c r="AM19" s="129">
        <f>40000</f>
        <v>40000</v>
      </c>
      <c r="AN19" s="129"/>
      <c r="AO19" s="133">
        <v>40000</v>
      </c>
      <c r="AP19" s="129">
        <f t="shared" si="20"/>
        <v>0</v>
      </c>
      <c r="AQ19" s="129"/>
      <c r="AR19" s="129"/>
      <c r="AS19" s="129"/>
      <c r="AT19" s="129">
        <f t="shared" si="21"/>
        <v>0</v>
      </c>
      <c r="AU19" s="129"/>
      <c r="AV19" s="129"/>
      <c r="AW19" s="133"/>
      <c r="AX19" s="129">
        <f t="shared" si="22"/>
        <v>0</v>
      </c>
      <c r="AY19" s="129"/>
      <c r="AZ19" s="129"/>
      <c r="BA19" s="129"/>
      <c r="BB19" s="129">
        <f t="shared" si="23"/>
        <v>0</v>
      </c>
      <c r="BC19" s="135">
        <f t="shared" si="1"/>
        <v>4531310</v>
      </c>
      <c r="BD19" s="135">
        <f t="shared" si="5"/>
        <v>15000</v>
      </c>
      <c r="BE19" s="135">
        <f t="shared" si="6"/>
        <v>2058431.4</v>
      </c>
      <c r="BF19" s="135">
        <f t="shared" si="7"/>
        <v>2457878.6</v>
      </c>
      <c r="BG19" s="129">
        <f t="shared" si="4"/>
        <v>45.426850072054215</v>
      </c>
      <c r="BH19" s="37">
        <v>20930</v>
      </c>
      <c r="BI19" s="37">
        <f t="shared" si="24"/>
        <v>2079361.4</v>
      </c>
    </row>
    <row r="20" spans="1:61" s="64" customFormat="1" x14ac:dyDescent="0.55000000000000004">
      <c r="A20" s="138">
        <v>14</v>
      </c>
      <c r="B20" s="128" t="s">
        <v>18</v>
      </c>
      <c r="C20" s="129">
        <f t="shared" si="8"/>
        <v>180000</v>
      </c>
      <c r="D20" s="129"/>
      <c r="E20" s="133">
        <v>54000</v>
      </c>
      <c r="F20" s="129">
        <f t="shared" si="9"/>
        <v>126000</v>
      </c>
      <c r="G20" s="129">
        <f>124000</f>
        <v>124000</v>
      </c>
      <c r="H20" s="133"/>
      <c r="I20" s="133">
        <v>25118.71</v>
      </c>
      <c r="J20" s="129">
        <f t="shared" si="10"/>
        <v>98881.290000000008</v>
      </c>
      <c r="K20" s="129">
        <f t="shared" si="11"/>
        <v>340000</v>
      </c>
      <c r="L20" s="133"/>
      <c r="M20" s="133"/>
      <c r="N20" s="129">
        <f t="shared" si="12"/>
        <v>340000</v>
      </c>
      <c r="O20" s="129"/>
      <c r="P20" s="129"/>
      <c r="Q20" s="129"/>
      <c r="R20" s="129">
        <f t="shared" si="13"/>
        <v>0</v>
      </c>
      <c r="S20" s="129">
        <f t="shared" si="14"/>
        <v>950000</v>
      </c>
      <c r="T20" s="133"/>
      <c r="U20" s="133">
        <v>527706.43000000005</v>
      </c>
      <c r="V20" s="129">
        <f t="shared" si="15"/>
        <v>422293.56999999995</v>
      </c>
      <c r="W20" s="129">
        <f>1589000+878890</f>
        <v>2467890</v>
      </c>
      <c r="X20" s="133">
        <v>816500</v>
      </c>
      <c r="Y20" s="133">
        <v>518990</v>
      </c>
      <c r="Z20" s="129">
        <f t="shared" si="16"/>
        <v>1132400</v>
      </c>
      <c r="AA20" s="129"/>
      <c r="AB20" s="129"/>
      <c r="AC20" s="129"/>
      <c r="AD20" s="129">
        <f t="shared" si="17"/>
        <v>0</v>
      </c>
      <c r="AE20" s="129">
        <f>219350-219350</f>
        <v>0</v>
      </c>
      <c r="AF20" s="133"/>
      <c r="AG20" s="133"/>
      <c r="AH20" s="129">
        <f t="shared" si="18"/>
        <v>0</v>
      </c>
      <c r="AI20" s="129">
        <f>70000+30000-10000</f>
        <v>90000</v>
      </c>
      <c r="AJ20" s="129"/>
      <c r="AK20" s="133">
        <v>84905</v>
      </c>
      <c r="AL20" s="129">
        <f t="shared" si="19"/>
        <v>5095</v>
      </c>
      <c r="AM20" s="129">
        <f>40000</f>
        <v>40000</v>
      </c>
      <c r="AN20" s="129"/>
      <c r="AO20" s="133"/>
      <c r="AP20" s="129">
        <f t="shared" si="20"/>
        <v>40000</v>
      </c>
      <c r="AQ20" s="129"/>
      <c r="AR20" s="129"/>
      <c r="AS20" s="129"/>
      <c r="AT20" s="129">
        <f t="shared" si="21"/>
        <v>0</v>
      </c>
      <c r="AU20" s="129"/>
      <c r="AV20" s="129"/>
      <c r="AW20" s="133"/>
      <c r="AX20" s="129">
        <f t="shared" si="22"/>
        <v>0</v>
      </c>
      <c r="AY20" s="129"/>
      <c r="AZ20" s="129"/>
      <c r="BA20" s="129"/>
      <c r="BB20" s="129">
        <f t="shared" si="23"/>
        <v>0</v>
      </c>
      <c r="BC20" s="135">
        <f t="shared" si="1"/>
        <v>4191890</v>
      </c>
      <c r="BD20" s="135">
        <f t="shared" si="5"/>
        <v>816500</v>
      </c>
      <c r="BE20" s="135">
        <f t="shared" si="6"/>
        <v>1210720.1400000001</v>
      </c>
      <c r="BF20" s="135">
        <f t="shared" si="7"/>
        <v>2164669.86</v>
      </c>
      <c r="BG20" s="129">
        <f t="shared" si="4"/>
        <v>28.882440617478039</v>
      </c>
      <c r="BH20" s="37"/>
      <c r="BI20" s="37">
        <f t="shared" si="24"/>
        <v>1210720.1400000001</v>
      </c>
    </row>
    <row r="21" spans="1:61" s="64" customFormat="1" x14ac:dyDescent="0.55000000000000004">
      <c r="A21" s="138">
        <v>15</v>
      </c>
      <c r="B21" s="128" t="s">
        <v>19</v>
      </c>
      <c r="C21" s="129">
        <f t="shared" si="8"/>
        <v>180000</v>
      </c>
      <c r="D21" s="129"/>
      <c r="E21" s="133">
        <v>92937</v>
      </c>
      <c r="F21" s="129">
        <f t="shared" si="9"/>
        <v>87063</v>
      </c>
      <c r="G21" s="129">
        <f>104000</f>
        <v>104000</v>
      </c>
      <c r="H21" s="133"/>
      <c r="I21" s="133">
        <v>103268</v>
      </c>
      <c r="J21" s="129">
        <f t="shared" si="10"/>
        <v>732</v>
      </c>
      <c r="K21" s="129">
        <f t="shared" si="11"/>
        <v>340000</v>
      </c>
      <c r="L21" s="133"/>
      <c r="M21" s="133"/>
      <c r="N21" s="129">
        <f t="shared" si="12"/>
        <v>340000</v>
      </c>
      <c r="O21" s="129"/>
      <c r="P21" s="129"/>
      <c r="Q21" s="129"/>
      <c r="R21" s="129">
        <f t="shared" si="13"/>
        <v>0</v>
      </c>
      <c r="S21" s="129">
        <f t="shared" si="14"/>
        <v>950000</v>
      </c>
      <c r="T21" s="133"/>
      <c r="U21" s="133">
        <v>517388.79999999999</v>
      </c>
      <c r="V21" s="129">
        <f t="shared" si="15"/>
        <v>432611.2</v>
      </c>
      <c r="W21" s="129">
        <f>1529000+878890</f>
        <v>2407890</v>
      </c>
      <c r="X21" s="133"/>
      <c r="Y21" s="133">
        <v>1488917</v>
      </c>
      <c r="Z21" s="129">
        <f t="shared" si="16"/>
        <v>918973</v>
      </c>
      <c r="AA21" s="129"/>
      <c r="AB21" s="129"/>
      <c r="AC21" s="129"/>
      <c r="AD21" s="129">
        <f t="shared" si="17"/>
        <v>0</v>
      </c>
      <c r="AE21" s="129">
        <f>190000-190000</f>
        <v>0</v>
      </c>
      <c r="AF21" s="133"/>
      <c r="AG21" s="133"/>
      <c r="AH21" s="129">
        <f t="shared" si="18"/>
        <v>0</v>
      </c>
      <c r="AI21" s="129">
        <f>70000+30000-10000</f>
        <v>90000</v>
      </c>
      <c r="AJ21" s="129"/>
      <c r="AK21" s="133">
        <v>65335</v>
      </c>
      <c r="AL21" s="129">
        <f t="shared" si="19"/>
        <v>24665</v>
      </c>
      <c r="AM21" s="129">
        <f>40000</f>
        <v>40000</v>
      </c>
      <c r="AN21" s="129"/>
      <c r="AO21" s="133"/>
      <c r="AP21" s="129">
        <f t="shared" si="20"/>
        <v>40000</v>
      </c>
      <c r="AQ21" s="129"/>
      <c r="AR21" s="129"/>
      <c r="AS21" s="129"/>
      <c r="AT21" s="129">
        <f t="shared" si="21"/>
        <v>0</v>
      </c>
      <c r="AU21" s="129"/>
      <c r="AV21" s="129"/>
      <c r="AW21" s="133"/>
      <c r="AX21" s="129">
        <f t="shared" si="22"/>
        <v>0</v>
      </c>
      <c r="AY21" s="129"/>
      <c r="AZ21" s="129"/>
      <c r="BA21" s="129"/>
      <c r="BB21" s="129">
        <f t="shared" si="23"/>
        <v>0</v>
      </c>
      <c r="BC21" s="135">
        <f t="shared" si="1"/>
        <v>4111890</v>
      </c>
      <c r="BD21" s="135">
        <f t="shared" si="5"/>
        <v>0</v>
      </c>
      <c r="BE21" s="135">
        <f t="shared" si="6"/>
        <v>2267845.7999999998</v>
      </c>
      <c r="BF21" s="135">
        <f t="shared" si="7"/>
        <v>1844044.2</v>
      </c>
      <c r="BG21" s="129">
        <f t="shared" si="4"/>
        <v>55.153367429576171</v>
      </c>
      <c r="BH21" s="37">
        <v>9815</v>
      </c>
      <c r="BI21" s="37">
        <f t="shared" si="24"/>
        <v>2277660.7999999998</v>
      </c>
    </row>
    <row r="22" spans="1:61" s="64" customFormat="1" x14ac:dyDescent="0.55000000000000004">
      <c r="A22" s="138">
        <v>16</v>
      </c>
      <c r="B22" s="128" t="s">
        <v>20</v>
      </c>
      <c r="C22" s="129">
        <f t="shared" si="8"/>
        <v>180000</v>
      </c>
      <c r="D22" s="129"/>
      <c r="E22" s="133">
        <v>20000</v>
      </c>
      <c r="F22" s="129">
        <f t="shared" si="9"/>
        <v>160000</v>
      </c>
      <c r="G22" s="129">
        <f>89000</f>
        <v>89000</v>
      </c>
      <c r="H22" s="133"/>
      <c r="I22" s="133">
        <v>85060</v>
      </c>
      <c r="J22" s="129">
        <f t="shared" si="10"/>
        <v>3940</v>
      </c>
      <c r="K22" s="129">
        <f t="shared" si="11"/>
        <v>340000</v>
      </c>
      <c r="L22" s="133"/>
      <c r="M22" s="133">
        <v>340000</v>
      </c>
      <c r="N22" s="129">
        <f t="shared" si="12"/>
        <v>0</v>
      </c>
      <c r="O22" s="129"/>
      <c r="P22" s="129"/>
      <c r="Q22" s="129"/>
      <c r="R22" s="129">
        <f t="shared" si="13"/>
        <v>0</v>
      </c>
      <c r="S22" s="129">
        <f t="shared" si="14"/>
        <v>950000</v>
      </c>
      <c r="T22" s="133"/>
      <c r="U22" s="133">
        <v>494040</v>
      </c>
      <c r="V22" s="129">
        <f t="shared" si="15"/>
        <v>455960</v>
      </c>
      <c r="W22" s="129">
        <f>1529000+878890</f>
        <v>2407890</v>
      </c>
      <c r="X22" s="133">
        <v>560900</v>
      </c>
      <c r="Y22" s="133">
        <v>873860</v>
      </c>
      <c r="Z22" s="129">
        <f t="shared" si="16"/>
        <v>973130</v>
      </c>
      <c r="AA22" s="129"/>
      <c r="AB22" s="129"/>
      <c r="AC22" s="129"/>
      <c r="AD22" s="129">
        <f t="shared" si="17"/>
        <v>0</v>
      </c>
      <c r="AE22" s="129">
        <f>124800-15390</f>
        <v>109410</v>
      </c>
      <c r="AF22" s="133"/>
      <c r="AG22" s="133">
        <v>109410</v>
      </c>
      <c r="AH22" s="129">
        <f t="shared" si="18"/>
        <v>0</v>
      </c>
      <c r="AI22" s="129">
        <f>70000+30000-15000</f>
        <v>85000</v>
      </c>
      <c r="AJ22" s="129"/>
      <c r="AK22" s="133">
        <v>57203</v>
      </c>
      <c r="AL22" s="129">
        <f t="shared" si="19"/>
        <v>27797</v>
      </c>
      <c r="AM22" s="129">
        <f>40000</f>
        <v>40000</v>
      </c>
      <c r="AN22" s="129"/>
      <c r="AO22" s="133"/>
      <c r="AP22" s="129">
        <f t="shared" si="20"/>
        <v>40000</v>
      </c>
      <c r="AQ22" s="129"/>
      <c r="AR22" s="129"/>
      <c r="AS22" s="129"/>
      <c r="AT22" s="129">
        <f t="shared" si="21"/>
        <v>0</v>
      </c>
      <c r="AU22" s="129"/>
      <c r="AV22" s="129"/>
      <c r="AW22" s="133"/>
      <c r="AX22" s="129">
        <f t="shared" si="22"/>
        <v>0</v>
      </c>
      <c r="AY22" s="129"/>
      <c r="AZ22" s="129"/>
      <c r="BA22" s="129"/>
      <c r="BB22" s="129">
        <f t="shared" si="23"/>
        <v>0</v>
      </c>
      <c r="BC22" s="135">
        <f t="shared" si="1"/>
        <v>4201300</v>
      </c>
      <c r="BD22" s="135">
        <f t="shared" si="5"/>
        <v>560900</v>
      </c>
      <c r="BE22" s="135">
        <f t="shared" si="6"/>
        <v>1979573</v>
      </c>
      <c r="BF22" s="135">
        <f t="shared" si="7"/>
        <v>1660827</v>
      </c>
      <c r="BG22" s="129">
        <f t="shared" si="4"/>
        <v>47.118106300430817</v>
      </c>
      <c r="BH22" s="37">
        <v>1176</v>
      </c>
      <c r="BI22" s="37">
        <f t="shared" si="24"/>
        <v>1980749</v>
      </c>
    </row>
    <row r="23" spans="1:61" s="64" customFormat="1" x14ac:dyDescent="0.55000000000000004">
      <c r="A23" s="138">
        <v>17</v>
      </c>
      <c r="B23" s="128" t="s">
        <v>21</v>
      </c>
      <c r="C23" s="129">
        <f t="shared" si="8"/>
        <v>180000</v>
      </c>
      <c r="D23" s="129"/>
      <c r="E23" s="133">
        <v>80000</v>
      </c>
      <c r="F23" s="129">
        <f t="shared" si="9"/>
        <v>100000</v>
      </c>
      <c r="G23" s="129">
        <f>114000</f>
        <v>114000</v>
      </c>
      <c r="H23" s="133">
        <v>5000</v>
      </c>
      <c r="I23" s="133">
        <v>91110</v>
      </c>
      <c r="J23" s="129">
        <f t="shared" si="10"/>
        <v>17890</v>
      </c>
      <c r="K23" s="129">
        <f t="shared" si="11"/>
        <v>340000</v>
      </c>
      <c r="L23" s="133"/>
      <c r="M23" s="133"/>
      <c r="N23" s="129">
        <f t="shared" si="12"/>
        <v>340000</v>
      </c>
      <c r="O23" s="129">
        <f>200000+200000</f>
        <v>400000</v>
      </c>
      <c r="P23" s="129"/>
      <c r="Q23" s="129">
        <v>55290.16</v>
      </c>
      <c r="R23" s="129">
        <f t="shared" si="13"/>
        <v>344709.83999999997</v>
      </c>
      <c r="S23" s="129">
        <f t="shared" si="14"/>
        <v>950000</v>
      </c>
      <c r="T23" s="133"/>
      <c r="U23" s="133">
        <v>474672.12</v>
      </c>
      <c r="V23" s="129">
        <f t="shared" si="15"/>
        <v>475327.88</v>
      </c>
      <c r="W23" s="129">
        <f>1589000+878890</f>
        <v>2467890</v>
      </c>
      <c r="X23" s="133">
        <v>300000</v>
      </c>
      <c r="Y23" s="133">
        <v>1200000</v>
      </c>
      <c r="Z23" s="129">
        <f t="shared" si="16"/>
        <v>967890</v>
      </c>
      <c r="AA23" s="129"/>
      <c r="AB23" s="129"/>
      <c r="AC23" s="129"/>
      <c r="AD23" s="129">
        <f t="shared" si="17"/>
        <v>0</v>
      </c>
      <c r="AE23" s="129">
        <f>190000-190000</f>
        <v>0</v>
      </c>
      <c r="AF23" s="133"/>
      <c r="AG23" s="133"/>
      <c r="AH23" s="129">
        <f t="shared" si="18"/>
        <v>0</v>
      </c>
      <c r="AI23" s="129">
        <f>70000+30000-25000</f>
        <v>75000</v>
      </c>
      <c r="AJ23" s="129"/>
      <c r="AK23" s="133">
        <v>42450</v>
      </c>
      <c r="AL23" s="129">
        <f t="shared" si="19"/>
        <v>32550</v>
      </c>
      <c r="AM23" s="129">
        <f>40000</f>
        <v>40000</v>
      </c>
      <c r="AN23" s="129"/>
      <c r="AO23" s="133"/>
      <c r="AP23" s="129">
        <f t="shared" si="20"/>
        <v>40000</v>
      </c>
      <c r="AQ23" s="129"/>
      <c r="AR23" s="129"/>
      <c r="AS23" s="129"/>
      <c r="AT23" s="129">
        <f t="shared" si="21"/>
        <v>0</v>
      </c>
      <c r="AU23" s="129"/>
      <c r="AV23" s="129"/>
      <c r="AW23" s="133"/>
      <c r="AX23" s="129">
        <f t="shared" si="22"/>
        <v>0</v>
      </c>
      <c r="AY23" s="129"/>
      <c r="AZ23" s="129"/>
      <c r="BA23" s="129"/>
      <c r="BB23" s="129">
        <f t="shared" si="23"/>
        <v>0</v>
      </c>
      <c r="BC23" s="135">
        <f t="shared" si="1"/>
        <v>4566890</v>
      </c>
      <c r="BD23" s="135">
        <f t="shared" si="5"/>
        <v>305000</v>
      </c>
      <c r="BE23" s="135">
        <f t="shared" si="6"/>
        <v>1943522.28</v>
      </c>
      <c r="BF23" s="135">
        <f t="shared" si="7"/>
        <v>2318367.7199999997</v>
      </c>
      <c r="BG23" s="129">
        <f t="shared" si="4"/>
        <v>42.556800798793049</v>
      </c>
      <c r="BH23" s="37">
        <v>8480</v>
      </c>
      <c r="BI23" s="37">
        <f t="shared" si="24"/>
        <v>1952002.28</v>
      </c>
    </row>
    <row r="24" spans="1:61" s="64" customFormat="1" x14ac:dyDescent="0.55000000000000004">
      <c r="A24" s="138">
        <v>18</v>
      </c>
      <c r="B24" s="128" t="s">
        <v>22</v>
      </c>
      <c r="C24" s="129">
        <f t="shared" si="8"/>
        <v>180000</v>
      </c>
      <c r="D24" s="129"/>
      <c r="E24" s="133">
        <v>70000</v>
      </c>
      <c r="F24" s="129">
        <f t="shared" si="9"/>
        <v>110000</v>
      </c>
      <c r="G24" s="129">
        <f>230800</f>
        <v>230800</v>
      </c>
      <c r="H24" s="133"/>
      <c r="I24" s="133">
        <v>122400</v>
      </c>
      <c r="J24" s="129">
        <f t="shared" si="10"/>
        <v>108400</v>
      </c>
      <c r="K24" s="129">
        <f t="shared" si="11"/>
        <v>340000</v>
      </c>
      <c r="L24" s="133"/>
      <c r="M24" s="133"/>
      <c r="N24" s="129">
        <f t="shared" si="12"/>
        <v>340000</v>
      </c>
      <c r="O24" s="129"/>
      <c r="P24" s="129"/>
      <c r="Q24" s="129"/>
      <c r="R24" s="129">
        <f t="shared" si="13"/>
        <v>0</v>
      </c>
      <c r="S24" s="129">
        <f t="shared" si="14"/>
        <v>950000</v>
      </c>
      <c r="T24" s="133"/>
      <c r="U24" s="133">
        <v>554817.31000000006</v>
      </c>
      <c r="V24" s="129">
        <f t="shared" si="15"/>
        <v>395182.68999999994</v>
      </c>
      <c r="W24" s="129">
        <f>1649000+878890</f>
        <v>2527890</v>
      </c>
      <c r="X24" s="133">
        <v>5620</v>
      </c>
      <c r="Y24" s="133">
        <v>289590</v>
      </c>
      <c r="Z24" s="129">
        <f t="shared" si="16"/>
        <v>2232680</v>
      </c>
      <c r="AA24" s="129"/>
      <c r="AB24" s="129"/>
      <c r="AC24" s="129"/>
      <c r="AD24" s="129">
        <f t="shared" si="17"/>
        <v>0</v>
      </c>
      <c r="AE24" s="129">
        <f>220000-220000</f>
        <v>0</v>
      </c>
      <c r="AF24" s="133"/>
      <c r="AG24" s="133"/>
      <c r="AH24" s="129">
        <f t="shared" si="18"/>
        <v>0</v>
      </c>
      <c r="AI24" s="129">
        <f>70000+30000-45000</f>
        <v>55000</v>
      </c>
      <c r="AJ24" s="129"/>
      <c r="AK24" s="133">
        <v>3150</v>
      </c>
      <c r="AL24" s="129">
        <f t="shared" si="19"/>
        <v>51850</v>
      </c>
      <c r="AM24" s="129">
        <f>40000</f>
        <v>40000</v>
      </c>
      <c r="AN24" s="129"/>
      <c r="AO24" s="133">
        <v>40000</v>
      </c>
      <c r="AP24" s="129">
        <f t="shared" si="20"/>
        <v>0</v>
      </c>
      <c r="AQ24" s="129">
        <f>17800</f>
        <v>17800</v>
      </c>
      <c r="AR24" s="129"/>
      <c r="AS24" s="129">
        <v>13138</v>
      </c>
      <c r="AT24" s="129">
        <f t="shared" si="21"/>
        <v>4662</v>
      </c>
      <c r="AU24" s="129"/>
      <c r="AV24" s="129"/>
      <c r="AW24" s="133"/>
      <c r="AX24" s="129">
        <f t="shared" si="22"/>
        <v>0</v>
      </c>
      <c r="AY24" s="129"/>
      <c r="AZ24" s="129"/>
      <c r="BA24" s="129"/>
      <c r="BB24" s="129">
        <f t="shared" si="23"/>
        <v>0</v>
      </c>
      <c r="BC24" s="135">
        <f t="shared" si="1"/>
        <v>4341490</v>
      </c>
      <c r="BD24" s="135">
        <f t="shared" si="5"/>
        <v>5620</v>
      </c>
      <c r="BE24" s="135">
        <f t="shared" si="6"/>
        <v>1093095.31</v>
      </c>
      <c r="BF24" s="135">
        <f t="shared" si="7"/>
        <v>3242774.69</v>
      </c>
      <c r="BG24" s="129">
        <f t="shared" si="4"/>
        <v>25.177883860149397</v>
      </c>
      <c r="BH24" s="37"/>
      <c r="BI24" s="37">
        <f t="shared" si="24"/>
        <v>1093095.31</v>
      </c>
    </row>
    <row r="25" spans="1:61" s="64" customFormat="1" x14ac:dyDescent="0.55000000000000004">
      <c r="A25" s="138">
        <v>19</v>
      </c>
      <c r="B25" s="128" t="s">
        <v>23</v>
      </c>
      <c r="C25" s="129">
        <f t="shared" si="8"/>
        <v>180000</v>
      </c>
      <c r="D25" s="129"/>
      <c r="E25" s="133">
        <v>66050</v>
      </c>
      <c r="F25" s="129">
        <f t="shared" si="9"/>
        <v>113950</v>
      </c>
      <c r="G25" s="129">
        <f>184000</f>
        <v>184000</v>
      </c>
      <c r="H25" s="133"/>
      <c r="I25" s="133">
        <v>168715</v>
      </c>
      <c r="J25" s="129">
        <f t="shared" si="10"/>
        <v>15285</v>
      </c>
      <c r="K25" s="129">
        <f t="shared" si="11"/>
        <v>340000</v>
      </c>
      <c r="L25" s="133"/>
      <c r="M25" s="133"/>
      <c r="N25" s="129">
        <f t="shared" si="12"/>
        <v>340000</v>
      </c>
      <c r="O25" s="129"/>
      <c r="P25" s="129"/>
      <c r="Q25" s="129"/>
      <c r="R25" s="129">
        <f t="shared" si="13"/>
        <v>0</v>
      </c>
      <c r="S25" s="129">
        <f t="shared" si="14"/>
        <v>950000</v>
      </c>
      <c r="T25" s="133"/>
      <c r="U25" s="133">
        <v>502889.58</v>
      </c>
      <c r="V25" s="129">
        <f t="shared" si="15"/>
        <v>447110.42</v>
      </c>
      <c r="W25" s="129">
        <f>1649000+878890</f>
        <v>2527890</v>
      </c>
      <c r="X25" s="133">
        <v>1000000</v>
      </c>
      <c r="Y25" s="133">
        <v>1439690</v>
      </c>
      <c r="Z25" s="129">
        <f t="shared" si="16"/>
        <v>88200</v>
      </c>
      <c r="AA25" s="129"/>
      <c r="AB25" s="129"/>
      <c r="AC25" s="129"/>
      <c r="AD25" s="129">
        <f t="shared" si="17"/>
        <v>0</v>
      </c>
      <c r="AE25" s="129">
        <f>220000-220000</f>
        <v>0</v>
      </c>
      <c r="AF25" s="133"/>
      <c r="AG25" s="133"/>
      <c r="AH25" s="129">
        <f t="shared" si="18"/>
        <v>0</v>
      </c>
      <c r="AI25" s="129">
        <f>70000+30000-22000</f>
        <v>78000</v>
      </c>
      <c r="AJ25" s="129"/>
      <c r="AK25" s="133">
        <v>52077.7</v>
      </c>
      <c r="AL25" s="129">
        <f t="shared" si="19"/>
        <v>25922.300000000003</v>
      </c>
      <c r="AM25" s="129">
        <f>40000</f>
        <v>40000</v>
      </c>
      <c r="AN25" s="129"/>
      <c r="AO25" s="133"/>
      <c r="AP25" s="129">
        <f t="shared" si="20"/>
        <v>40000</v>
      </c>
      <c r="AQ25" s="129"/>
      <c r="AR25" s="129"/>
      <c r="AS25" s="129"/>
      <c r="AT25" s="129">
        <f t="shared" si="21"/>
        <v>0</v>
      </c>
      <c r="AU25" s="129"/>
      <c r="AV25" s="129"/>
      <c r="AW25" s="133"/>
      <c r="AX25" s="129">
        <f t="shared" si="22"/>
        <v>0</v>
      </c>
      <c r="AY25" s="129"/>
      <c r="AZ25" s="129"/>
      <c r="BA25" s="129"/>
      <c r="BB25" s="129">
        <f t="shared" si="23"/>
        <v>0</v>
      </c>
      <c r="BC25" s="135">
        <f t="shared" si="1"/>
        <v>4299890</v>
      </c>
      <c r="BD25" s="135">
        <f t="shared" si="5"/>
        <v>1000000</v>
      </c>
      <c r="BE25" s="135">
        <f t="shared" si="6"/>
        <v>2229422.2800000003</v>
      </c>
      <c r="BF25" s="135">
        <f t="shared" si="7"/>
        <v>1070467.72</v>
      </c>
      <c r="BG25" s="129">
        <f t="shared" si="4"/>
        <v>51.848356120737982</v>
      </c>
      <c r="BH25" s="37">
        <v>700</v>
      </c>
      <c r="BI25" s="37">
        <f t="shared" si="24"/>
        <v>2230122.2800000003</v>
      </c>
    </row>
    <row r="26" spans="1:61" s="64" customFormat="1" x14ac:dyDescent="0.55000000000000004">
      <c r="A26" s="138">
        <v>20</v>
      </c>
      <c r="B26" s="128" t="s">
        <v>24</v>
      </c>
      <c r="C26" s="129">
        <f t="shared" si="8"/>
        <v>180000</v>
      </c>
      <c r="D26" s="129"/>
      <c r="E26" s="133"/>
      <c r="F26" s="129">
        <f t="shared" si="9"/>
        <v>180000</v>
      </c>
      <c r="G26" s="129">
        <f>154000</f>
        <v>154000</v>
      </c>
      <c r="H26" s="133"/>
      <c r="I26" s="133">
        <f>149704+4296</f>
        <v>154000</v>
      </c>
      <c r="J26" s="129">
        <f t="shared" si="10"/>
        <v>0</v>
      </c>
      <c r="K26" s="129">
        <f t="shared" si="11"/>
        <v>340000</v>
      </c>
      <c r="L26" s="133"/>
      <c r="M26" s="133"/>
      <c r="N26" s="129">
        <f t="shared" si="12"/>
        <v>340000</v>
      </c>
      <c r="O26" s="129"/>
      <c r="P26" s="129"/>
      <c r="Q26" s="129"/>
      <c r="R26" s="129">
        <f t="shared" si="13"/>
        <v>0</v>
      </c>
      <c r="S26" s="129">
        <f t="shared" si="14"/>
        <v>950000</v>
      </c>
      <c r="T26" s="133"/>
      <c r="U26" s="133">
        <v>514945.69</v>
      </c>
      <c r="V26" s="129">
        <f t="shared" si="15"/>
        <v>435054.31</v>
      </c>
      <c r="W26" s="129">
        <f>1649000+878890</f>
        <v>2527890</v>
      </c>
      <c r="X26" s="133"/>
      <c r="Y26" s="133">
        <v>205000</v>
      </c>
      <c r="Z26" s="129">
        <f t="shared" si="16"/>
        <v>2322890</v>
      </c>
      <c r="AA26" s="129"/>
      <c r="AB26" s="129"/>
      <c r="AC26" s="129"/>
      <c r="AD26" s="129">
        <f t="shared" si="17"/>
        <v>0</v>
      </c>
      <c r="AE26" s="129">
        <f>220000-213200</f>
        <v>6800</v>
      </c>
      <c r="AF26" s="133"/>
      <c r="AG26" s="133"/>
      <c r="AH26" s="129">
        <f t="shared" si="18"/>
        <v>6800</v>
      </c>
      <c r="AI26" s="129">
        <f>70000+30000-20000</f>
        <v>80000</v>
      </c>
      <c r="AJ26" s="129"/>
      <c r="AK26" s="133">
        <v>56750</v>
      </c>
      <c r="AL26" s="129">
        <f t="shared" si="19"/>
        <v>23250</v>
      </c>
      <c r="AM26" s="129">
        <f>40000</f>
        <v>40000</v>
      </c>
      <c r="AN26" s="129"/>
      <c r="AO26" s="133"/>
      <c r="AP26" s="129">
        <f t="shared" si="20"/>
        <v>40000</v>
      </c>
      <c r="AQ26" s="129"/>
      <c r="AR26" s="129"/>
      <c r="AS26" s="129"/>
      <c r="AT26" s="129">
        <f t="shared" si="21"/>
        <v>0</v>
      </c>
      <c r="AU26" s="129"/>
      <c r="AV26" s="129"/>
      <c r="AW26" s="133"/>
      <c r="AX26" s="129">
        <f t="shared" si="22"/>
        <v>0</v>
      </c>
      <c r="AY26" s="129"/>
      <c r="AZ26" s="129"/>
      <c r="BA26" s="129"/>
      <c r="BB26" s="129">
        <f t="shared" si="23"/>
        <v>0</v>
      </c>
      <c r="BC26" s="135">
        <f t="shared" si="1"/>
        <v>4278690</v>
      </c>
      <c r="BD26" s="135">
        <f t="shared" si="5"/>
        <v>0</v>
      </c>
      <c r="BE26" s="135">
        <f t="shared" si="6"/>
        <v>930695.69</v>
      </c>
      <c r="BF26" s="135">
        <f t="shared" si="7"/>
        <v>3347994.31</v>
      </c>
      <c r="BG26" s="129">
        <f t="shared" si="4"/>
        <v>21.751884104714293</v>
      </c>
      <c r="BH26" s="37"/>
      <c r="BI26" s="37">
        <f t="shared" si="24"/>
        <v>930695.69</v>
      </c>
    </row>
    <row r="27" spans="1:61" s="64" customFormat="1" x14ac:dyDescent="0.55000000000000004">
      <c r="A27" s="138">
        <v>21</v>
      </c>
      <c r="B27" s="128" t="s">
        <v>25</v>
      </c>
      <c r="C27" s="129">
        <f t="shared" si="8"/>
        <v>180000</v>
      </c>
      <c r="D27" s="129"/>
      <c r="E27" s="133">
        <v>53165</v>
      </c>
      <c r="F27" s="129">
        <f t="shared" si="9"/>
        <v>126835</v>
      </c>
      <c r="G27" s="129">
        <f>179000</f>
        <v>179000</v>
      </c>
      <c r="H27" s="133"/>
      <c r="I27" s="133">
        <v>125595.24</v>
      </c>
      <c r="J27" s="129">
        <f t="shared" si="10"/>
        <v>53404.759999999995</v>
      </c>
      <c r="K27" s="129">
        <f t="shared" si="11"/>
        <v>340000</v>
      </c>
      <c r="L27" s="133"/>
      <c r="M27" s="133">
        <v>290000</v>
      </c>
      <c r="N27" s="129">
        <f t="shared" si="12"/>
        <v>50000</v>
      </c>
      <c r="O27" s="129"/>
      <c r="P27" s="129"/>
      <c r="Q27" s="129"/>
      <c r="R27" s="129">
        <f t="shared" si="13"/>
        <v>0</v>
      </c>
      <c r="S27" s="129">
        <f t="shared" si="14"/>
        <v>950000</v>
      </c>
      <c r="T27" s="133">
        <v>28500</v>
      </c>
      <c r="U27" s="133">
        <v>555459.36</v>
      </c>
      <c r="V27" s="129">
        <f t="shared" si="15"/>
        <v>366040.64</v>
      </c>
      <c r="W27" s="129">
        <f>1649000+878890</f>
        <v>2527890</v>
      </c>
      <c r="X27" s="133">
        <v>110925</v>
      </c>
      <c r="Y27" s="133">
        <v>916997.79</v>
      </c>
      <c r="Z27" s="129">
        <f t="shared" si="16"/>
        <v>1499967.21</v>
      </c>
      <c r="AA27" s="129"/>
      <c r="AB27" s="129"/>
      <c r="AC27" s="129"/>
      <c r="AD27" s="129">
        <f t="shared" si="17"/>
        <v>0</v>
      </c>
      <c r="AE27" s="129">
        <f>193936-193936</f>
        <v>0</v>
      </c>
      <c r="AF27" s="133"/>
      <c r="AG27" s="133"/>
      <c r="AH27" s="129">
        <f t="shared" si="18"/>
        <v>0</v>
      </c>
      <c r="AI27" s="129">
        <f>70000+30000-30000</f>
        <v>70000</v>
      </c>
      <c r="AJ27" s="129"/>
      <c r="AK27" s="133">
        <v>34530</v>
      </c>
      <c r="AL27" s="129">
        <f t="shared" si="19"/>
        <v>35470</v>
      </c>
      <c r="AM27" s="129">
        <f>40000</f>
        <v>40000</v>
      </c>
      <c r="AN27" s="129"/>
      <c r="AO27" s="133">
        <v>40000</v>
      </c>
      <c r="AP27" s="129">
        <f t="shared" si="20"/>
        <v>0</v>
      </c>
      <c r="AQ27" s="129"/>
      <c r="AR27" s="129"/>
      <c r="AS27" s="129"/>
      <c r="AT27" s="129">
        <f t="shared" si="21"/>
        <v>0</v>
      </c>
      <c r="AU27" s="129"/>
      <c r="AV27" s="129"/>
      <c r="AW27" s="133"/>
      <c r="AX27" s="129">
        <f t="shared" si="22"/>
        <v>0</v>
      </c>
      <c r="AY27" s="129"/>
      <c r="AZ27" s="129"/>
      <c r="BA27" s="129"/>
      <c r="BB27" s="129">
        <f t="shared" si="23"/>
        <v>0</v>
      </c>
      <c r="BC27" s="135">
        <f t="shared" si="1"/>
        <v>4286890</v>
      </c>
      <c r="BD27" s="135">
        <f t="shared" si="5"/>
        <v>139425</v>
      </c>
      <c r="BE27" s="135">
        <f t="shared" si="6"/>
        <v>2015747.3900000001</v>
      </c>
      <c r="BF27" s="135">
        <f t="shared" si="7"/>
        <v>2131717.61</v>
      </c>
      <c r="BG27" s="129">
        <f t="shared" si="4"/>
        <v>47.021206282409857</v>
      </c>
      <c r="BH27" s="37">
        <v>2030</v>
      </c>
      <c r="BI27" s="37">
        <f t="shared" si="24"/>
        <v>2017777.3900000001</v>
      </c>
    </row>
    <row r="28" spans="1:61" s="64" customFormat="1" x14ac:dyDescent="0.55000000000000004">
      <c r="A28" s="138">
        <v>22</v>
      </c>
      <c r="B28" s="128" t="s">
        <v>26</v>
      </c>
      <c r="C28" s="129">
        <f t="shared" si="8"/>
        <v>180000</v>
      </c>
      <c r="D28" s="129"/>
      <c r="E28" s="133">
        <v>170000</v>
      </c>
      <c r="F28" s="129">
        <f t="shared" si="9"/>
        <v>10000</v>
      </c>
      <c r="G28" s="129">
        <f>194000</f>
        <v>194000</v>
      </c>
      <c r="H28" s="133"/>
      <c r="I28" s="133">
        <v>150727</v>
      </c>
      <c r="J28" s="129">
        <f t="shared" si="10"/>
        <v>43273</v>
      </c>
      <c r="K28" s="129">
        <f t="shared" si="11"/>
        <v>340000</v>
      </c>
      <c r="L28" s="133"/>
      <c r="M28" s="133">
        <v>340000</v>
      </c>
      <c r="N28" s="129">
        <f t="shared" si="12"/>
        <v>0</v>
      </c>
      <c r="O28" s="129"/>
      <c r="P28" s="129"/>
      <c r="Q28" s="129"/>
      <c r="R28" s="129">
        <f t="shared" si="13"/>
        <v>0</v>
      </c>
      <c r="S28" s="129">
        <f t="shared" si="14"/>
        <v>950000</v>
      </c>
      <c r="T28" s="133"/>
      <c r="U28" s="133">
        <v>563034.78</v>
      </c>
      <c r="V28" s="129">
        <f t="shared" si="15"/>
        <v>386965.22</v>
      </c>
      <c r="W28" s="129">
        <f>1649000+878890</f>
        <v>2527890</v>
      </c>
      <c r="X28" s="133"/>
      <c r="Y28" s="133">
        <v>1630500</v>
      </c>
      <c r="Z28" s="129">
        <f t="shared" si="16"/>
        <v>897390</v>
      </c>
      <c r="AA28" s="129"/>
      <c r="AB28" s="129"/>
      <c r="AC28" s="129"/>
      <c r="AD28" s="129">
        <f t="shared" si="17"/>
        <v>0</v>
      </c>
      <c r="AE28" s="129">
        <f>319819-319819</f>
        <v>0</v>
      </c>
      <c r="AF28" s="133"/>
      <c r="AG28" s="133"/>
      <c r="AH28" s="129">
        <f t="shared" si="18"/>
        <v>0</v>
      </c>
      <c r="AI28" s="129">
        <f>70000+30000-20000</f>
        <v>80000</v>
      </c>
      <c r="AJ28" s="129"/>
      <c r="AK28" s="133">
        <v>58178</v>
      </c>
      <c r="AL28" s="129">
        <f t="shared" si="19"/>
        <v>21822</v>
      </c>
      <c r="AM28" s="129">
        <f>40000</f>
        <v>40000</v>
      </c>
      <c r="AN28" s="129"/>
      <c r="AO28" s="133"/>
      <c r="AP28" s="129">
        <f t="shared" si="20"/>
        <v>40000</v>
      </c>
      <c r="AQ28" s="129"/>
      <c r="AR28" s="129"/>
      <c r="AS28" s="129"/>
      <c r="AT28" s="129">
        <f t="shared" si="21"/>
        <v>0</v>
      </c>
      <c r="AU28" s="129"/>
      <c r="AV28" s="129"/>
      <c r="AW28" s="133"/>
      <c r="AX28" s="129">
        <f t="shared" si="22"/>
        <v>0</v>
      </c>
      <c r="AY28" s="129"/>
      <c r="AZ28" s="129"/>
      <c r="BA28" s="129"/>
      <c r="BB28" s="129">
        <f t="shared" si="23"/>
        <v>0</v>
      </c>
      <c r="BC28" s="135">
        <f t="shared" si="1"/>
        <v>4311890</v>
      </c>
      <c r="BD28" s="135">
        <f t="shared" si="5"/>
        <v>0</v>
      </c>
      <c r="BE28" s="135">
        <f t="shared" si="6"/>
        <v>2912439.7800000003</v>
      </c>
      <c r="BF28" s="135">
        <f t="shared" si="7"/>
        <v>1399450.22</v>
      </c>
      <c r="BG28" s="129">
        <f t="shared" si="4"/>
        <v>67.544389583222213</v>
      </c>
      <c r="BH28" s="37"/>
      <c r="BI28" s="37">
        <f t="shared" si="24"/>
        <v>2912439.7800000003</v>
      </c>
    </row>
    <row r="29" spans="1:61" s="64" customFormat="1" x14ac:dyDescent="0.55000000000000004">
      <c r="A29" s="138">
        <v>23</v>
      </c>
      <c r="B29" s="128" t="s">
        <v>27</v>
      </c>
      <c r="C29" s="129">
        <f t="shared" si="8"/>
        <v>180000</v>
      </c>
      <c r="D29" s="129"/>
      <c r="E29" s="133">
        <v>135140</v>
      </c>
      <c r="F29" s="129">
        <f t="shared" si="9"/>
        <v>44860</v>
      </c>
      <c r="G29" s="129">
        <f>114000</f>
        <v>114000</v>
      </c>
      <c r="H29" s="133"/>
      <c r="I29" s="133">
        <v>87090.93</v>
      </c>
      <c r="J29" s="129">
        <f t="shared" si="10"/>
        <v>26909.070000000007</v>
      </c>
      <c r="K29" s="129">
        <f t="shared" si="11"/>
        <v>340000</v>
      </c>
      <c r="L29" s="133"/>
      <c r="M29" s="133"/>
      <c r="N29" s="129">
        <f t="shared" si="12"/>
        <v>340000</v>
      </c>
      <c r="O29" s="129"/>
      <c r="P29" s="129"/>
      <c r="Q29" s="129"/>
      <c r="R29" s="129">
        <f t="shared" si="13"/>
        <v>0</v>
      </c>
      <c r="S29" s="129">
        <f t="shared" si="14"/>
        <v>950000</v>
      </c>
      <c r="T29" s="133">
        <v>378000</v>
      </c>
      <c r="U29" s="133">
        <v>514009.09</v>
      </c>
      <c r="V29" s="129">
        <f t="shared" si="15"/>
        <v>57990.909999999974</v>
      </c>
      <c r="W29" s="129">
        <f>1589000+300000+878890+332300</f>
        <v>3100190</v>
      </c>
      <c r="X29" s="133"/>
      <c r="Y29" s="133">
        <v>2078700</v>
      </c>
      <c r="Z29" s="129">
        <f t="shared" si="16"/>
        <v>1021490</v>
      </c>
      <c r="AA29" s="129"/>
      <c r="AB29" s="129"/>
      <c r="AC29" s="129"/>
      <c r="AD29" s="129">
        <f t="shared" si="17"/>
        <v>0</v>
      </c>
      <c r="AE29" s="129">
        <f>190000-190000</f>
        <v>0</v>
      </c>
      <c r="AF29" s="133"/>
      <c r="AG29" s="133"/>
      <c r="AH29" s="129">
        <f t="shared" si="18"/>
        <v>0</v>
      </c>
      <c r="AI29" s="129">
        <f>70000+30000-10000</f>
        <v>90000</v>
      </c>
      <c r="AJ29" s="129"/>
      <c r="AK29" s="133">
        <v>65450</v>
      </c>
      <c r="AL29" s="129">
        <f t="shared" si="19"/>
        <v>24550</v>
      </c>
      <c r="AM29" s="129">
        <f>40000</f>
        <v>40000</v>
      </c>
      <c r="AN29" s="129"/>
      <c r="AO29" s="133"/>
      <c r="AP29" s="129">
        <f t="shared" si="20"/>
        <v>40000</v>
      </c>
      <c r="AQ29" s="129"/>
      <c r="AR29" s="129"/>
      <c r="AS29" s="129"/>
      <c r="AT29" s="129">
        <f t="shared" si="21"/>
        <v>0</v>
      </c>
      <c r="AU29" s="129"/>
      <c r="AV29" s="129"/>
      <c r="AW29" s="133"/>
      <c r="AX29" s="129">
        <f t="shared" si="22"/>
        <v>0</v>
      </c>
      <c r="AY29" s="129"/>
      <c r="AZ29" s="129"/>
      <c r="BA29" s="129"/>
      <c r="BB29" s="129">
        <f t="shared" si="23"/>
        <v>0</v>
      </c>
      <c r="BC29" s="135">
        <f t="shared" si="1"/>
        <v>4814190</v>
      </c>
      <c r="BD29" s="135">
        <f t="shared" si="5"/>
        <v>378000</v>
      </c>
      <c r="BE29" s="135">
        <f t="shared" si="6"/>
        <v>2880390.02</v>
      </c>
      <c r="BF29" s="135">
        <f t="shared" si="7"/>
        <v>1555799.98</v>
      </c>
      <c r="BG29" s="129">
        <f t="shared" si="4"/>
        <v>59.831249285965029</v>
      </c>
      <c r="BH29" s="37">
        <v>6960</v>
      </c>
      <c r="BI29" s="37">
        <f t="shared" si="24"/>
        <v>2887350.02</v>
      </c>
    </row>
    <row r="30" spans="1:61" s="64" customFormat="1" x14ac:dyDescent="0.55000000000000004">
      <c r="A30" s="138">
        <v>24</v>
      </c>
      <c r="B30" s="128" t="s">
        <v>28</v>
      </c>
      <c r="C30" s="129">
        <f t="shared" si="8"/>
        <v>180000</v>
      </c>
      <c r="D30" s="129"/>
      <c r="E30" s="133"/>
      <c r="F30" s="129">
        <f t="shared" si="9"/>
        <v>180000</v>
      </c>
      <c r="G30" s="129">
        <f>149000</f>
        <v>149000</v>
      </c>
      <c r="H30" s="133"/>
      <c r="I30" s="133">
        <v>113000</v>
      </c>
      <c r="J30" s="129">
        <f t="shared" si="10"/>
        <v>36000</v>
      </c>
      <c r="K30" s="129">
        <f t="shared" si="11"/>
        <v>340000</v>
      </c>
      <c r="L30" s="133"/>
      <c r="M30" s="133">
        <v>340000</v>
      </c>
      <c r="N30" s="129">
        <f t="shared" si="12"/>
        <v>0</v>
      </c>
      <c r="O30" s="129"/>
      <c r="P30" s="129"/>
      <c r="Q30" s="129"/>
      <c r="R30" s="129">
        <f t="shared" si="13"/>
        <v>0</v>
      </c>
      <c r="S30" s="129">
        <f t="shared" si="14"/>
        <v>950000</v>
      </c>
      <c r="T30" s="133"/>
      <c r="U30" s="133">
        <v>513286.98</v>
      </c>
      <c r="V30" s="129">
        <f t="shared" si="15"/>
        <v>436713.02</v>
      </c>
      <c r="W30" s="129">
        <f>1649000+878890</f>
        <v>2527890</v>
      </c>
      <c r="X30" s="133"/>
      <c r="Y30" s="133">
        <v>1296500</v>
      </c>
      <c r="Z30" s="129">
        <f t="shared" si="16"/>
        <v>1231390</v>
      </c>
      <c r="AA30" s="129"/>
      <c r="AB30" s="129"/>
      <c r="AC30" s="129"/>
      <c r="AD30" s="129">
        <f t="shared" si="17"/>
        <v>0</v>
      </c>
      <c r="AE30" s="129">
        <f>223800-223800</f>
        <v>0</v>
      </c>
      <c r="AF30" s="133"/>
      <c r="AG30" s="133"/>
      <c r="AH30" s="129">
        <f t="shared" si="18"/>
        <v>0</v>
      </c>
      <c r="AI30" s="129">
        <f>70000+30000-21000</f>
        <v>79000</v>
      </c>
      <c r="AJ30" s="129"/>
      <c r="AK30" s="133">
        <v>53915</v>
      </c>
      <c r="AL30" s="129">
        <f t="shared" si="19"/>
        <v>25085</v>
      </c>
      <c r="AM30" s="129">
        <f>40000</f>
        <v>40000</v>
      </c>
      <c r="AN30" s="129"/>
      <c r="AO30" s="133"/>
      <c r="AP30" s="129">
        <f t="shared" si="20"/>
        <v>40000</v>
      </c>
      <c r="AQ30" s="129"/>
      <c r="AR30" s="129"/>
      <c r="AS30" s="129"/>
      <c r="AT30" s="129">
        <f t="shared" si="21"/>
        <v>0</v>
      </c>
      <c r="AU30" s="129"/>
      <c r="AV30" s="129"/>
      <c r="AW30" s="133"/>
      <c r="AX30" s="129">
        <f t="shared" si="22"/>
        <v>0</v>
      </c>
      <c r="AY30" s="129"/>
      <c r="AZ30" s="129"/>
      <c r="BA30" s="129"/>
      <c r="BB30" s="129">
        <f t="shared" si="23"/>
        <v>0</v>
      </c>
      <c r="BC30" s="135">
        <f t="shared" si="1"/>
        <v>4265890</v>
      </c>
      <c r="BD30" s="135">
        <f t="shared" si="5"/>
        <v>0</v>
      </c>
      <c r="BE30" s="135">
        <f t="shared" si="6"/>
        <v>2316701.98</v>
      </c>
      <c r="BF30" s="135">
        <f t="shared" si="7"/>
        <v>1949188.02</v>
      </c>
      <c r="BG30" s="129">
        <f t="shared" si="4"/>
        <v>54.307588334439004</v>
      </c>
      <c r="BH30" s="37">
        <v>1780</v>
      </c>
      <c r="BI30" s="37">
        <f t="shared" si="24"/>
        <v>2318481.98</v>
      </c>
    </row>
    <row r="31" spans="1:61" s="64" customFormat="1" x14ac:dyDescent="0.55000000000000004">
      <c r="A31" s="138">
        <v>25</v>
      </c>
      <c r="B31" s="128" t="s">
        <v>29</v>
      </c>
      <c r="C31" s="129">
        <f t="shared" si="8"/>
        <v>180000</v>
      </c>
      <c r="D31" s="129"/>
      <c r="E31" s="133">
        <v>172000</v>
      </c>
      <c r="F31" s="129">
        <f t="shared" si="9"/>
        <v>8000</v>
      </c>
      <c r="G31" s="129">
        <f>104000</f>
        <v>104000</v>
      </c>
      <c r="H31" s="133"/>
      <c r="I31" s="133">
        <v>81212.259999999995</v>
      </c>
      <c r="J31" s="129">
        <f t="shared" si="10"/>
        <v>22787.740000000005</v>
      </c>
      <c r="K31" s="129">
        <f t="shared" si="11"/>
        <v>340000</v>
      </c>
      <c r="L31" s="133"/>
      <c r="M31" s="133">
        <v>340000</v>
      </c>
      <c r="N31" s="129">
        <f t="shared" si="12"/>
        <v>0</v>
      </c>
      <c r="O31" s="129"/>
      <c r="P31" s="129"/>
      <c r="Q31" s="129"/>
      <c r="R31" s="129">
        <f t="shared" si="13"/>
        <v>0</v>
      </c>
      <c r="S31" s="129">
        <f t="shared" si="14"/>
        <v>950000</v>
      </c>
      <c r="T31" s="133">
        <v>21000</v>
      </c>
      <c r="U31" s="133">
        <v>533299.35</v>
      </c>
      <c r="V31" s="129">
        <f t="shared" si="15"/>
        <v>395700.65</v>
      </c>
      <c r="W31" s="129">
        <f>1529000+878890+200000</f>
        <v>2607890</v>
      </c>
      <c r="X31" s="133">
        <v>827800</v>
      </c>
      <c r="Y31" s="133">
        <v>432000</v>
      </c>
      <c r="Z31" s="129">
        <f t="shared" si="16"/>
        <v>1348090</v>
      </c>
      <c r="AA31" s="129"/>
      <c r="AB31" s="129"/>
      <c r="AC31" s="129"/>
      <c r="AD31" s="129">
        <f t="shared" si="17"/>
        <v>0</v>
      </c>
      <c r="AE31" s="129">
        <f>190000-190000</f>
        <v>0</v>
      </c>
      <c r="AF31" s="133"/>
      <c r="AG31" s="133"/>
      <c r="AH31" s="129">
        <f t="shared" si="18"/>
        <v>0</v>
      </c>
      <c r="AI31" s="129">
        <f t="shared" ref="AI31:AI69" si="25">70000+30000</f>
        <v>100000</v>
      </c>
      <c r="AJ31" s="129"/>
      <c r="AK31" s="133">
        <v>88610</v>
      </c>
      <c r="AL31" s="129">
        <f t="shared" si="19"/>
        <v>11390</v>
      </c>
      <c r="AM31" s="129">
        <f>40000</f>
        <v>40000</v>
      </c>
      <c r="AN31" s="129"/>
      <c r="AO31" s="133">
        <v>40000</v>
      </c>
      <c r="AP31" s="129">
        <f t="shared" si="20"/>
        <v>0</v>
      </c>
      <c r="AQ31" s="129"/>
      <c r="AR31" s="129"/>
      <c r="AS31" s="129"/>
      <c r="AT31" s="129">
        <f t="shared" si="21"/>
        <v>0</v>
      </c>
      <c r="AU31" s="129"/>
      <c r="AV31" s="129"/>
      <c r="AW31" s="133"/>
      <c r="AX31" s="129">
        <f t="shared" si="22"/>
        <v>0</v>
      </c>
      <c r="AY31" s="129"/>
      <c r="AZ31" s="129"/>
      <c r="BA31" s="129"/>
      <c r="BB31" s="129">
        <f t="shared" si="23"/>
        <v>0</v>
      </c>
      <c r="BC31" s="135">
        <f t="shared" si="1"/>
        <v>4321890</v>
      </c>
      <c r="BD31" s="135">
        <f t="shared" si="5"/>
        <v>848800</v>
      </c>
      <c r="BE31" s="135">
        <f t="shared" si="6"/>
        <v>1687121.6099999999</v>
      </c>
      <c r="BF31" s="135">
        <f t="shared" si="7"/>
        <v>1785968.3900000001</v>
      </c>
      <c r="BG31" s="129">
        <f t="shared" si="4"/>
        <v>39.036662432408043</v>
      </c>
      <c r="BH31" s="37">
        <v>22886</v>
      </c>
      <c r="BI31" s="37">
        <f t="shared" si="24"/>
        <v>1710007.6099999999</v>
      </c>
    </row>
    <row r="32" spans="1:61" s="64" customFormat="1" x14ac:dyDescent="0.55000000000000004">
      <c r="A32" s="138">
        <v>26</v>
      </c>
      <c r="B32" s="128" t="s">
        <v>30</v>
      </c>
      <c r="C32" s="129">
        <f t="shared" si="8"/>
        <v>180000</v>
      </c>
      <c r="D32" s="129"/>
      <c r="E32" s="133"/>
      <c r="F32" s="129">
        <f t="shared" si="9"/>
        <v>180000</v>
      </c>
      <c r="G32" s="129">
        <f>99000</f>
        <v>99000</v>
      </c>
      <c r="H32" s="133"/>
      <c r="I32" s="133">
        <v>37266.47</v>
      </c>
      <c r="J32" s="129">
        <f t="shared" si="10"/>
        <v>61733.53</v>
      </c>
      <c r="K32" s="129">
        <f t="shared" si="11"/>
        <v>340000</v>
      </c>
      <c r="L32" s="133"/>
      <c r="M32" s="133"/>
      <c r="N32" s="129">
        <f t="shared" si="12"/>
        <v>340000</v>
      </c>
      <c r="O32" s="129"/>
      <c r="P32" s="129"/>
      <c r="Q32" s="129"/>
      <c r="R32" s="129">
        <f t="shared" si="13"/>
        <v>0</v>
      </c>
      <c r="S32" s="129">
        <f t="shared" si="14"/>
        <v>950000</v>
      </c>
      <c r="T32" s="133"/>
      <c r="U32" s="133">
        <v>597867.01</v>
      </c>
      <c r="V32" s="129">
        <f t="shared" si="15"/>
        <v>352132.99</v>
      </c>
      <c r="W32" s="129">
        <f>1529000+878890</f>
        <v>2407890</v>
      </c>
      <c r="X32" s="133"/>
      <c r="Y32" s="133">
        <v>1200670.97</v>
      </c>
      <c r="Z32" s="129">
        <f t="shared" si="16"/>
        <v>1207219.03</v>
      </c>
      <c r="AA32" s="129"/>
      <c r="AB32" s="129"/>
      <c r="AC32" s="129"/>
      <c r="AD32" s="129">
        <f t="shared" si="17"/>
        <v>0</v>
      </c>
      <c r="AE32" s="129">
        <f>190000-190000</f>
        <v>0</v>
      </c>
      <c r="AF32" s="133"/>
      <c r="AG32" s="133"/>
      <c r="AH32" s="129">
        <f t="shared" si="18"/>
        <v>0</v>
      </c>
      <c r="AI32" s="129">
        <f>70000+30000-30000</f>
        <v>70000</v>
      </c>
      <c r="AJ32" s="129"/>
      <c r="AK32" s="133">
        <v>40000</v>
      </c>
      <c r="AL32" s="129">
        <f t="shared" si="19"/>
        <v>30000</v>
      </c>
      <c r="AM32" s="129">
        <f>40000</f>
        <v>40000</v>
      </c>
      <c r="AN32" s="129"/>
      <c r="AO32" s="133">
        <v>40000</v>
      </c>
      <c r="AP32" s="129">
        <f t="shared" si="20"/>
        <v>0</v>
      </c>
      <c r="AQ32" s="129"/>
      <c r="AR32" s="129"/>
      <c r="AS32" s="129"/>
      <c r="AT32" s="129">
        <f t="shared" si="21"/>
        <v>0</v>
      </c>
      <c r="AU32" s="129"/>
      <c r="AV32" s="129"/>
      <c r="AW32" s="133"/>
      <c r="AX32" s="129">
        <f t="shared" si="22"/>
        <v>0</v>
      </c>
      <c r="AY32" s="129"/>
      <c r="AZ32" s="129"/>
      <c r="BA32" s="129"/>
      <c r="BB32" s="129">
        <f t="shared" si="23"/>
        <v>0</v>
      </c>
      <c r="BC32" s="135">
        <f t="shared" si="1"/>
        <v>4086890</v>
      </c>
      <c r="BD32" s="135">
        <f t="shared" si="5"/>
        <v>0</v>
      </c>
      <c r="BE32" s="135">
        <f t="shared" si="6"/>
        <v>1915804.45</v>
      </c>
      <c r="BF32" s="135">
        <f t="shared" si="7"/>
        <v>2171085.5499999998</v>
      </c>
      <c r="BG32" s="129">
        <f t="shared" si="4"/>
        <v>46.876829324987952</v>
      </c>
      <c r="BH32" s="37">
        <v>13051</v>
      </c>
      <c r="BI32" s="37">
        <f t="shared" si="24"/>
        <v>1928855.45</v>
      </c>
    </row>
    <row r="33" spans="1:61" s="64" customFormat="1" x14ac:dyDescent="0.55000000000000004">
      <c r="A33" s="138">
        <v>27</v>
      </c>
      <c r="B33" s="128" t="s">
        <v>31</v>
      </c>
      <c r="C33" s="129">
        <f t="shared" si="8"/>
        <v>180000</v>
      </c>
      <c r="D33" s="129"/>
      <c r="E33" s="133"/>
      <c r="F33" s="129">
        <f t="shared" si="9"/>
        <v>180000</v>
      </c>
      <c r="G33" s="129">
        <f>200700</f>
        <v>200700</v>
      </c>
      <c r="H33" s="133"/>
      <c r="I33" s="133">
        <v>179259</v>
      </c>
      <c r="J33" s="129">
        <f t="shared" si="10"/>
        <v>21441</v>
      </c>
      <c r="K33" s="129">
        <f t="shared" si="11"/>
        <v>340000</v>
      </c>
      <c r="L33" s="133"/>
      <c r="M33" s="133">
        <v>340000</v>
      </c>
      <c r="N33" s="129">
        <f t="shared" si="12"/>
        <v>0</v>
      </c>
      <c r="O33" s="129"/>
      <c r="P33" s="129"/>
      <c r="Q33" s="129"/>
      <c r="R33" s="129">
        <f t="shared" si="13"/>
        <v>0</v>
      </c>
      <c r="S33" s="129">
        <f t="shared" si="14"/>
        <v>950000</v>
      </c>
      <c r="T33" s="133"/>
      <c r="U33" s="133">
        <v>593130.71</v>
      </c>
      <c r="V33" s="129">
        <f t="shared" si="15"/>
        <v>356869.29000000004</v>
      </c>
      <c r="W33" s="129">
        <f>1649000+878890</f>
        <v>2527890</v>
      </c>
      <c r="X33" s="133">
        <v>998000</v>
      </c>
      <c r="Y33" s="133">
        <v>649000</v>
      </c>
      <c r="Z33" s="129">
        <f t="shared" si="16"/>
        <v>880890</v>
      </c>
      <c r="AA33" s="129"/>
      <c r="AB33" s="129"/>
      <c r="AC33" s="129"/>
      <c r="AD33" s="129">
        <f t="shared" si="17"/>
        <v>0</v>
      </c>
      <c r="AE33" s="129">
        <f>220000-220000</f>
        <v>0</v>
      </c>
      <c r="AF33" s="133"/>
      <c r="AG33" s="133"/>
      <c r="AH33" s="129">
        <f t="shared" si="18"/>
        <v>0</v>
      </c>
      <c r="AI33" s="129">
        <f>70000+30000-25000</f>
        <v>75000</v>
      </c>
      <c r="AJ33" s="129"/>
      <c r="AK33" s="133">
        <v>43198</v>
      </c>
      <c r="AL33" s="129">
        <f t="shared" si="19"/>
        <v>31802</v>
      </c>
      <c r="AM33" s="129">
        <f>40000</f>
        <v>40000</v>
      </c>
      <c r="AN33" s="129"/>
      <c r="AO33" s="133">
        <v>40000</v>
      </c>
      <c r="AP33" s="129">
        <f t="shared" si="20"/>
        <v>0</v>
      </c>
      <c r="AQ33" s="129"/>
      <c r="AR33" s="129"/>
      <c r="AS33" s="129"/>
      <c r="AT33" s="129">
        <f t="shared" si="21"/>
        <v>0</v>
      </c>
      <c r="AU33" s="129"/>
      <c r="AV33" s="129"/>
      <c r="AW33" s="133"/>
      <c r="AX33" s="129">
        <f t="shared" si="22"/>
        <v>0</v>
      </c>
      <c r="AY33" s="129"/>
      <c r="AZ33" s="129"/>
      <c r="BA33" s="129"/>
      <c r="BB33" s="129">
        <f t="shared" si="23"/>
        <v>0</v>
      </c>
      <c r="BC33" s="135">
        <f t="shared" si="1"/>
        <v>4313590</v>
      </c>
      <c r="BD33" s="135">
        <f t="shared" si="5"/>
        <v>998000</v>
      </c>
      <c r="BE33" s="135">
        <f t="shared" si="6"/>
        <v>1844587.71</v>
      </c>
      <c r="BF33" s="135">
        <f t="shared" si="7"/>
        <v>1471002.29</v>
      </c>
      <c r="BG33" s="129">
        <f t="shared" si="4"/>
        <v>42.762240036721153</v>
      </c>
      <c r="BH33" s="37"/>
      <c r="BI33" s="37">
        <f t="shared" si="24"/>
        <v>1844587.71</v>
      </c>
    </row>
    <row r="34" spans="1:61" s="64" customFormat="1" x14ac:dyDescent="0.55000000000000004">
      <c r="A34" s="138">
        <v>28</v>
      </c>
      <c r="B34" s="128" t="s">
        <v>32</v>
      </c>
      <c r="C34" s="129">
        <f t="shared" si="8"/>
        <v>180000</v>
      </c>
      <c r="D34" s="129"/>
      <c r="E34" s="133">
        <v>22200</v>
      </c>
      <c r="F34" s="129">
        <f t="shared" si="9"/>
        <v>157800</v>
      </c>
      <c r="G34" s="129">
        <f>169000</f>
        <v>169000</v>
      </c>
      <c r="H34" s="133"/>
      <c r="I34" s="133">
        <v>161793.84</v>
      </c>
      <c r="J34" s="129">
        <f t="shared" si="10"/>
        <v>7206.1600000000035</v>
      </c>
      <c r="K34" s="129">
        <f t="shared" si="11"/>
        <v>340000</v>
      </c>
      <c r="L34" s="133"/>
      <c r="M34" s="133">
        <v>340000</v>
      </c>
      <c r="N34" s="129">
        <f t="shared" si="12"/>
        <v>0</v>
      </c>
      <c r="O34" s="129"/>
      <c r="P34" s="129"/>
      <c r="Q34" s="129"/>
      <c r="R34" s="129">
        <f t="shared" si="13"/>
        <v>0</v>
      </c>
      <c r="S34" s="129">
        <f t="shared" si="14"/>
        <v>950000</v>
      </c>
      <c r="T34" s="133"/>
      <c r="U34" s="133">
        <v>479817.22</v>
      </c>
      <c r="V34" s="129">
        <f t="shared" si="15"/>
        <v>470182.78</v>
      </c>
      <c r="W34" s="129">
        <f>1649000+878890</f>
        <v>2527890</v>
      </c>
      <c r="X34" s="133"/>
      <c r="Y34" s="133">
        <v>221760</v>
      </c>
      <c r="Z34" s="129">
        <f t="shared" si="16"/>
        <v>2306130</v>
      </c>
      <c r="AA34" s="129"/>
      <c r="AB34" s="129"/>
      <c r="AC34" s="129"/>
      <c r="AD34" s="129">
        <f t="shared" si="17"/>
        <v>0</v>
      </c>
      <c r="AE34" s="129">
        <f>219600-219600</f>
        <v>0</v>
      </c>
      <c r="AF34" s="133"/>
      <c r="AG34" s="133"/>
      <c r="AH34" s="129">
        <f t="shared" si="18"/>
        <v>0</v>
      </c>
      <c r="AI34" s="129">
        <f>70000+30000-60000</f>
        <v>40000</v>
      </c>
      <c r="AJ34" s="129"/>
      <c r="AK34" s="133"/>
      <c r="AL34" s="129">
        <f t="shared" si="19"/>
        <v>40000</v>
      </c>
      <c r="AM34" s="129">
        <f>40000</f>
        <v>40000</v>
      </c>
      <c r="AN34" s="129"/>
      <c r="AO34" s="133">
        <v>40000</v>
      </c>
      <c r="AP34" s="129">
        <f t="shared" si="20"/>
        <v>0</v>
      </c>
      <c r="AQ34" s="129"/>
      <c r="AR34" s="129"/>
      <c r="AS34" s="129"/>
      <c r="AT34" s="129">
        <f t="shared" si="21"/>
        <v>0</v>
      </c>
      <c r="AU34" s="129"/>
      <c r="AV34" s="129"/>
      <c r="AW34" s="133"/>
      <c r="AX34" s="129">
        <f t="shared" si="22"/>
        <v>0</v>
      </c>
      <c r="AY34" s="129"/>
      <c r="AZ34" s="129"/>
      <c r="BA34" s="129"/>
      <c r="BB34" s="129">
        <f t="shared" si="23"/>
        <v>0</v>
      </c>
      <c r="BC34" s="135">
        <f t="shared" si="1"/>
        <v>4246890</v>
      </c>
      <c r="BD34" s="135">
        <f t="shared" si="5"/>
        <v>0</v>
      </c>
      <c r="BE34" s="135">
        <f t="shared" si="6"/>
        <v>1265571.06</v>
      </c>
      <c r="BF34" s="135">
        <f t="shared" si="7"/>
        <v>2981318.94</v>
      </c>
      <c r="BG34" s="129">
        <f t="shared" si="4"/>
        <v>29.799949139252487</v>
      </c>
      <c r="BH34" s="37">
        <v>12571</v>
      </c>
      <c r="BI34" s="37">
        <f t="shared" si="24"/>
        <v>1278142.06</v>
      </c>
    </row>
    <row r="35" spans="1:61" s="64" customFormat="1" x14ac:dyDescent="0.55000000000000004">
      <c r="A35" s="138">
        <v>29</v>
      </c>
      <c r="B35" s="128" t="s">
        <v>33</v>
      </c>
      <c r="C35" s="129">
        <f t="shared" si="8"/>
        <v>180000</v>
      </c>
      <c r="D35" s="129"/>
      <c r="E35" s="133">
        <v>75000</v>
      </c>
      <c r="F35" s="129">
        <f t="shared" si="9"/>
        <v>105000</v>
      </c>
      <c r="G35" s="129">
        <f>139000</f>
        <v>139000</v>
      </c>
      <c r="H35" s="133"/>
      <c r="I35" s="133">
        <v>99568.89</v>
      </c>
      <c r="J35" s="129">
        <f t="shared" si="10"/>
        <v>39431.11</v>
      </c>
      <c r="K35" s="129">
        <f t="shared" si="11"/>
        <v>340000</v>
      </c>
      <c r="L35" s="133"/>
      <c r="M35" s="133"/>
      <c r="N35" s="129">
        <f t="shared" si="12"/>
        <v>340000</v>
      </c>
      <c r="O35" s="129"/>
      <c r="P35" s="129"/>
      <c r="Q35" s="129"/>
      <c r="R35" s="129">
        <f t="shared" si="13"/>
        <v>0</v>
      </c>
      <c r="S35" s="129">
        <f t="shared" si="14"/>
        <v>950000</v>
      </c>
      <c r="T35" s="133"/>
      <c r="U35" s="133">
        <v>487945.18</v>
      </c>
      <c r="V35" s="129">
        <f t="shared" si="15"/>
        <v>462054.82</v>
      </c>
      <c r="W35" s="129">
        <f>1589000+878890</f>
        <v>2467890</v>
      </c>
      <c r="X35" s="133"/>
      <c r="Y35" s="133">
        <v>340000</v>
      </c>
      <c r="Z35" s="129">
        <f t="shared" si="16"/>
        <v>2127890</v>
      </c>
      <c r="AA35" s="129"/>
      <c r="AB35" s="129"/>
      <c r="AC35" s="129"/>
      <c r="AD35" s="129">
        <f t="shared" si="17"/>
        <v>0</v>
      </c>
      <c r="AE35" s="129">
        <f>220000-179615</f>
        <v>40385</v>
      </c>
      <c r="AF35" s="133"/>
      <c r="AG35" s="133">
        <v>40385</v>
      </c>
      <c r="AH35" s="129">
        <f t="shared" si="18"/>
        <v>0</v>
      </c>
      <c r="AI35" s="129">
        <f>70000+30000-21000</f>
        <v>79000</v>
      </c>
      <c r="AJ35" s="129"/>
      <c r="AK35" s="133">
        <v>53272</v>
      </c>
      <c r="AL35" s="129">
        <f t="shared" si="19"/>
        <v>25728</v>
      </c>
      <c r="AM35" s="129">
        <f>40000</f>
        <v>40000</v>
      </c>
      <c r="AN35" s="129"/>
      <c r="AO35" s="133"/>
      <c r="AP35" s="129">
        <f t="shared" si="20"/>
        <v>40000</v>
      </c>
      <c r="AQ35" s="129"/>
      <c r="AR35" s="129"/>
      <c r="AS35" s="129"/>
      <c r="AT35" s="129">
        <f t="shared" si="21"/>
        <v>0</v>
      </c>
      <c r="AU35" s="129"/>
      <c r="AV35" s="129"/>
      <c r="AW35" s="133"/>
      <c r="AX35" s="129">
        <f t="shared" si="22"/>
        <v>0</v>
      </c>
      <c r="AY35" s="129"/>
      <c r="AZ35" s="129"/>
      <c r="BA35" s="129"/>
      <c r="BB35" s="129">
        <f t="shared" si="23"/>
        <v>0</v>
      </c>
      <c r="BC35" s="135">
        <f t="shared" si="1"/>
        <v>4236275</v>
      </c>
      <c r="BD35" s="135">
        <f t="shared" si="5"/>
        <v>0</v>
      </c>
      <c r="BE35" s="135">
        <f t="shared" si="6"/>
        <v>1096171.07</v>
      </c>
      <c r="BF35" s="135">
        <f t="shared" si="7"/>
        <v>3140103.9299999997</v>
      </c>
      <c r="BG35" s="129">
        <f t="shared" si="4"/>
        <v>25.875824161557027</v>
      </c>
      <c r="BH35" s="37">
        <v>22000</v>
      </c>
      <c r="BI35" s="37">
        <f t="shared" si="24"/>
        <v>1118171.07</v>
      </c>
    </row>
    <row r="36" spans="1:61" s="64" customFormat="1" x14ac:dyDescent="0.55000000000000004">
      <c r="A36" s="138">
        <v>30</v>
      </c>
      <c r="B36" s="128" t="s">
        <v>34</v>
      </c>
      <c r="C36" s="129">
        <f t="shared" si="8"/>
        <v>180000</v>
      </c>
      <c r="D36" s="129"/>
      <c r="E36" s="133">
        <v>80000</v>
      </c>
      <c r="F36" s="129">
        <f t="shared" si="9"/>
        <v>100000</v>
      </c>
      <c r="G36" s="129">
        <f>114000</f>
        <v>114000</v>
      </c>
      <c r="H36" s="133"/>
      <c r="I36" s="133">
        <v>94111.81</v>
      </c>
      <c r="J36" s="129">
        <f t="shared" si="10"/>
        <v>19888.190000000002</v>
      </c>
      <c r="K36" s="129">
        <f t="shared" si="11"/>
        <v>340000</v>
      </c>
      <c r="L36" s="133"/>
      <c r="M36" s="133"/>
      <c r="N36" s="129">
        <f t="shared" si="12"/>
        <v>340000</v>
      </c>
      <c r="O36" s="129">
        <f>200000+200000</f>
        <v>400000</v>
      </c>
      <c r="P36" s="129"/>
      <c r="Q36" s="129">
        <v>204546.66</v>
      </c>
      <c r="R36" s="129">
        <f t="shared" si="13"/>
        <v>195453.34</v>
      </c>
      <c r="S36" s="129">
        <f t="shared" si="14"/>
        <v>950000</v>
      </c>
      <c r="T36" s="133"/>
      <c r="U36" s="133">
        <v>527517.51</v>
      </c>
      <c r="V36" s="129">
        <f t="shared" si="15"/>
        <v>422482.49</v>
      </c>
      <c r="W36" s="129">
        <f>1649000+878890</f>
        <v>2527890</v>
      </c>
      <c r="X36" s="133"/>
      <c r="Y36" s="133">
        <v>1649000</v>
      </c>
      <c r="Z36" s="129">
        <f t="shared" si="16"/>
        <v>878890</v>
      </c>
      <c r="AA36" s="129"/>
      <c r="AB36" s="129"/>
      <c r="AC36" s="129"/>
      <c r="AD36" s="129">
        <f t="shared" si="17"/>
        <v>0</v>
      </c>
      <c r="AE36" s="129">
        <f>190200-190200</f>
        <v>0</v>
      </c>
      <c r="AF36" s="133"/>
      <c r="AG36" s="133"/>
      <c r="AH36" s="129">
        <f t="shared" si="18"/>
        <v>0</v>
      </c>
      <c r="AI36" s="129">
        <f>70000+30000-10000</f>
        <v>90000</v>
      </c>
      <c r="AJ36" s="129"/>
      <c r="AK36" s="133">
        <v>66723</v>
      </c>
      <c r="AL36" s="129">
        <f t="shared" si="19"/>
        <v>23277</v>
      </c>
      <c r="AM36" s="129">
        <f>40000</f>
        <v>40000</v>
      </c>
      <c r="AN36" s="129"/>
      <c r="AO36" s="133"/>
      <c r="AP36" s="129">
        <f t="shared" si="20"/>
        <v>40000</v>
      </c>
      <c r="AQ36" s="129"/>
      <c r="AR36" s="129"/>
      <c r="AS36" s="129"/>
      <c r="AT36" s="129">
        <f t="shared" si="21"/>
        <v>0</v>
      </c>
      <c r="AU36" s="129"/>
      <c r="AV36" s="129"/>
      <c r="AW36" s="133"/>
      <c r="AX36" s="129">
        <f t="shared" si="22"/>
        <v>0</v>
      </c>
      <c r="AY36" s="129"/>
      <c r="AZ36" s="129"/>
      <c r="BA36" s="129"/>
      <c r="BB36" s="129">
        <f t="shared" si="23"/>
        <v>0</v>
      </c>
      <c r="BC36" s="135">
        <f t="shared" si="1"/>
        <v>4641890</v>
      </c>
      <c r="BD36" s="135">
        <f t="shared" si="5"/>
        <v>0</v>
      </c>
      <c r="BE36" s="135">
        <f t="shared" si="6"/>
        <v>2621898.98</v>
      </c>
      <c r="BF36" s="135">
        <f t="shared" si="7"/>
        <v>2019991.02</v>
      </c>
      <c r="BG36" s="129">
        <f t="shared" si="4"/>
        <v>56.483436272725122</v>
      </c>
      <c r="BH36" s="37"/>
      <c r="BI36" s="37">
        <f t="shared" si="24"/>
        <v>2621898.98</v>
      </c>
    </row>
    <row r="37" spans="1:61" s="64" customFormat="1" x14ac:dyDescent="0.55000000000000004">
      <c r="A37" s="138">
        <v>31</v>
      </c>
      <c r="B37" s="128" t="s">
        <v>35</v>
      </c>
      <c r="C37" s="129">
        <f t="shared" si="8"/>
        <v>180000</v>
      </c>
      <c r="D37" s="129"/>
      <c r="E37" s="133">
        <v>76000</v>
      </c>
      <c r="F37" s="129">
        <f t="shared" si="9"/>
        <v>104000</v>
      </c>
      <c r="G37" s="129">
        <f>134000</f>
        <v>134000</v>
      </c>
      <c r="H37" s="133"/>
      <c r="I37" s="133">
        <v>99440</v>
      </c>
      <c r="J37" s="129">
        <f t="shared" si="10"/>
        <v>34560</v>
      </c>
      <c r="K37" s="129">
        <f t="shared" si="11"/>
        <v>340000</v>
      </c>
      <c r="L37" s="133"/>
      <c r="M37" s="133">
        <v>340000</v>
      </c>
      <c r="N37" s="129">
        <f t="shared" si="12"/>
        <v>0</v>
      </c>
      <c r="O37" s="129"/>
      <c r="P37" s="129"/>
      <c r="Q37" s="129"/>
      <c r="R37" s="129">
        <f t="shared" si="13"/>
        <v>0</v>
      </c>
      <c r="S37" s="129">
        <f t="shared" si="14"/>
        <v>950000</v>
      </c>
      <c r="T37" s="133"/>
      <c r="U37" s="133">
        <v>565868.18000000005</v>
      </c>
      <c r="V37" s="129">
        <f t="shared" si="15"/>
        <v>384131.81999999995</v>
      </c>
      <c r="W37" s="129">
        <f>1649000+300000+878890</f>
        <v>2827890</v>
      </c>
      <c r="X37" s="133">
        <v>499300</v>
      </c>
      <c r="Y37" s="133">
        <v>1354800</v>
      </c>
      <c r="Z37" s="129">
        <f t="shared" si="16"/>
        <v>973790</v>
      </c>
      <c r="AA37" s="129"/>
      <c r="AB37" s="129"/>
      <c r="AC37" s="129"/>
      <c r="AD37" s="129">
        <f t="shared" si="17"/>
        <v>0</v>
      </c>
      <c r="AE37" s="129">
        <f>220000-220000</f>
        <v>0</v>
      </c>
      <c r="AF37" s="133"/>
      <c r="AG37" s="133"/>
      <c r="AH37" s="129">
        <f t="shared" si="18"/>
        <v>0</v>
      </c>
      <c r="AI37" s="129">
        <f>70000+30000-20000</f>
        <v>80000</v>
      </c>
      <c r="AJ37" s="129"/>
      <c r="AK37" s="133">
        <v>58620</v>
      </c>
      <c r="AL37" s="129">
        <f t="shared" si="19"/>
        <v>21380</v>
      </c>
      <c r="AM37" s="129">
        <f>40000</f>
        <v>40000</v>
      </c>
      <c r="AN37" s="129"/>
      <c r="AO37" s="133"/>
      <c r="AP37" s="129">
        <f t="shared" si="20"/>
        <v>40000</v>
      </c>
      <c r="AQ37" s="129"/>
      <c r="AR37" s="129"/>
      <c r="AS37" s="129"/>
      <c r="AT37" s="129">
        <f t="shared" si="21"/>
        <v>0</v>
      </c>
      <c r="AU37" s="129"/>
      <c r="AV37" s="129"/>
      <c r="AW37" s="133"/>
      <c r="AX37" s="129">
        <f t="shared" si="22"/>
        <v>0</v>
      </c>
      <c r="AY37" s="129"/>
      <c r="AZ37" s="129"/>
      <c r="BA37" s="129"/>
      <c r="BB37" s="129">
        <f t="shared" si="23"/>
        <v>0</v>
      </c>
      <c r="BC37" s="135">
        <f t="shared" si="1"/>
        <v>4551890</v>
      </c>
      <c r="BD37" s="135">
        <f t="shared" si="5"/>
        <v>499300</v>
      </c>
      <c r="BE37" s="135">
        <f t="shared" si="6"/>
        <v>2494728.1800000002</v>
      </c>
      <c r="BF37" s="135">
        <f t="shared" si="7"/>
        <v>1557861.8199999998</v>
      </c>
      <c r="BG37" s="129">
        <f t="shared" si="4"/>
        <v>54.806425023451801</v>
      </c>
      <c r="BH37" s="37">
        <v>38070</v>
      </c>
      <c r="BI37" s="37">
        <f t="shared" si="24"/>
        <v>2532798.1800000002</v>
      </c>
    </row>
    <row r="38" spans="1:61" s="64" customFormat="1" x14ac:dyDescent="0.55000000000000004">
      <c r="A38" s="138">
        <v>32</v>
      </c>
      <c r="B38" s="128" t="s">
        <v>36</v>
      </c>
      <c r="C38" s="129">
        <f t="shared" si="8"/>
        <v>180000</v>
      </c>
      <c r="D38" s="129"/>
      <c r="E38" s="133">
        <v>156395</v>
      </c>
      <c r="F38" s="129">
        <f t="shared" si="9"/>
        <v>23605</v>
      </c>
      <c r="G38" s="129">
        <f>169000</f>
        <v>169000</v>
      </c>
      <c r="H38" s="133"/>
      <c r="I38" s="133">
        <v>124688.28</v>
      </c>
      <c r="J38" s="129">
        <f t="shared" si="10"/>
        <v>44311.72</v>
      </c>
      <c r="K38" s="129">
        <f t="shared" si="11"/>
        <v>340000</v>
      </c>
      <c r="L38" s="133"/>
      <c r="M38" s="133">
        <v>340000</v>
      </c>
      <c r="N38" s="129">
        <f t="shared" si="12"/>
        <v>0</v>
      </c>
      <c r="O38" s="129"/>
      <c r="P38" s="129"/>
      <c r="Q38" s="129"/>
      <c r="R38" s="129">
        <f t="shared" si="13"/>
        <v>0</v>
      </c>
      <c r="S38" s="129">
        <f t="shared" si="14"/>
        <v>950000</v>
      </c>
      <c r="T38" s="133"/>
      <c r="U38" s="133">
        <v>597916.80000000005</v>
      </c>
      <c r="V38" s="129">
        <f t="shared" si="15"/>
        <v>352083.19999999995</v>
      </c>
      <c r="W38" s="129">
        <f>1649000+878890</f>
        <v>2527890</v>
      </c>
      <c r="X38" s="133">
        <v>145000</v>
      </c>
      <c r="Y38" s="133">
        <v>1455000</v>
      </c>
      <c r="Z38" s="129">
        <f t="shared" si="16"/>
        <v>927890</v>
      </c>
      <c r="AA38" s="129"/>
      <c r="AB38" s="129"/>
      <c r="AC38" s="129"/>
      <c r="AD38" s="129">
        <f t="shared" si="17"/>
        <v>0</v>
      </c>
      <c r="AE38" s="129">
        <f>215200-215200</f>
        <v>0</v>
      </c>
      <c r="AF38" s="133"/>
      <c r="AG38" s="133"/>
      <c r="AH38" s="129">
        <f t="shared" si="18"/>
        <v>0</v>
      </c>
      <c r="AI38" s="129">
        <f>70000+30000-25000</f>
        <v>75000</v>
      </c>
      <c r="AJ38" s="129"/>
      <c r="AK38" s="133">
        <v>47640</v>
      </c>
      <c r="AL38" s="129">
        <f t="shared" si="19"/>
        <v>27360</v>
      </c>
      <c r="AM38" s="129">
        <f>40000</f>
        <v>40000</v>
      </c>
      <c r="AN38" s="129"/>
      <c r="AO38" s="133"/>
      <c r="AP38" s="129">
        <f t="shared" si="20"/>
        <v>40000</v>
      </c>
      <c r="AQ38" s="129"/>
      <c r="AR38" s="129"/>
      <c r="AS38" s="129"/>
      <c r="AT38" s="129">
        <f t="shared" si="21"/>
        <v>0</v>
      </c>
      <c r="AU38" s="129"/>
      <c r="AV38" s="129"/>
      <c r="AW38" s="133"/>
      <c r="AX38" s="129">
        <f t="shared" si="22"/>
        <v>0</v>
      </c>
      <c r="AY38" s="129"/>
      <c r="AZ38" s="129"/>
      <c r="BA38" s="129"/>
      <c r="BB38" s="129">
        <f t="shared" si="23"/>
        <v>0</v>
      </c>
      <c r="BC38" s="135">
        <f t="shared" si="1"/>
        <v>4281890</v>
      </c>
      <c r="BD38" s="135">
        <f t="shared" si="5"/>
        <v>145000</v>
      </c>
      <c r="BE38" s="135">
        <f t="shared" si="6"/>
        <v>2721640.08</v>
      </c>
      <c r="BF38" s="135">
        <f t="shared" si="7"/>
        <v>1415249.9199999999</v>
      </c>
      <c r="BG38" s="129">
        <f t="shared" ref="BG38:BG69" si="26">SUM(BE38*100/BC38)</f>
        <v>63.561653382034571</v>
      </c>
      <c r="BH38" s="37">
        <v>15629</v>
      </c>
      <c r="BI38" s="37">
        <f t="shared" si="24"/>
        <v>2737269.08</v>
      </c>
    </row>
    <row r="39" spans="1:61" s="64" customFormat="1" x14ac:dyDescent="0.55000000000000004">
      <c r="A39" s="138">
        <v>33</v>
      </c>
      <c r="B39" s="128" t="s">
        <v>37</v>
      </c>
      <c r="C39" s="129">
        <f t="shared" si="8"/>
        <v>180000</v>
      </c>
      <c r="D39" s="129"/>
      <c r="E39" s="133">
        <v>100000</v>
      </c>
      <c r="F39" s="129">
        <f t="shared" si="9"/>
        <v>80000</v>
      </c>
      <c r="G39" s="129">
        <f>159000</f>
        <v>159000</v>
      </c>
      <c r="H39" s="133"/>
      <c r="I39" s="133">
        <v>118335</v>
      </c>
      <c r="J39" s="129">
        <f t="shared" si="10"/>
        <v>40665</v>
      </c>
      <c r="K39" s="129">
        <f t="shared" si="11"/>
        <v>340000</v>
      </c>
      <c r="L39" s="133"/>
      <c r="M39" s="133"/>
      <c r="N39" s="129">
        <f t="shared" si="12"/>
        <v>340000</v>
      </c>
      <c r="O39" s="129"/>
      <c r="P39" s="129"/>
      <c r="Q39" s="129"/>
      <c r="R39" s="129">
        <f t="shared" si="13"/>
        <v>0</v>
      </c>
      <c r="S39" s="129">
        <f t="shared" si="14"/>
        <v>950000</v>
      </c>
      <c r="T39" s="133">
        <v>3496.75</v>
      </c>
      <c r="U39" s="133">
        <v>556780.92000000004</v>
      </c>
      <c r="V39" s="129">
        <f t="shared" si="15"/>
        <v>389722.32999999996</v>
      </c>
      <c r="W39" s="129">
        <f>1649000+878890</f>
        <v>2527890</v>
      </c>
      <c r="X39" s="133"/>
      <c r="Y39" s="133">
        <v>1271136</v>
      </c>
      <c r="Z39" s="129">
        <f t="shared" si="16"/>
        <v>1256754</v>
      </c>
      <c r="AA39" s="129"/>
      <c r="AB39" s="129"/>
      <c r="AC39" s="129"/>
      <c r="AD39" s="129">
        <f t="shared" si="17"/>
        <v>0</v>
      </c>
      <c r="AE39" s="129">
        <f>220000-220000</f>
        <v>0</v>
      </c>
      <c r="AF39" s="133"/>
      <c r="AG39" s="133"/>
      <c r="AH39" s="129">
        <f t="shared" si="18"/>
        <v>0</v>
      </c>
      <c r="AI39" s="129">
        <f>70000+30000-25000</f>
        <v>75000</v>
      </c>
      <c r="AJ39" s="129"/>
      <c r="AK39" s="133">
        <v>41680</v>
      </c>
      <c r="AL39" s="129">
        <f t="shared" si="19"/>
        <v>33320</v>
      </c>
      <c r="AM39" s="129">
        <f>40000</f>
        <v>40000</v>
      </c>
      <c r="AN39" s="129"/>
      <c r="AO39" s="133">
        <v>40000</v>
      </c>
      <c r="AP39" s="129">
        <f t="shared" si="20"/>
        <v>0</v>
      </c>
      <c r="AQ39" s="129"/>
      <c r="AR39" s="129"/>
      <c r="AS39" s="129"/>
      <c r="AT39" s="129">
        <f t="shared" si="21"/>
        <v>0</v>
      </c>
      <c r="AU39" s="129"/>
      <c r="AV39" s="129"/>
      <c r="AW39" s="133"/>
      <c r="AX39" s="129">
        <f t="shared" si="22"/>
        <v>0</v>
      </c>
      <c r="AY39" s="129"/>
      <c r="AZ39" s="129"/>
      <c r="BA39" s="129"/>
      <c r="BB39" s="129">
        <f t="shared" si="23"/>
        <v>0</v>
      </c>
      <c r="BC39" s="135">
        <f t="shared" si="1"/>
        <v>4271890</v>
      </c>
      <c r="BD39" s="135">
        <f t="shared" si="5"/>
        <v>3496.75</v>
      </c>
      <c r="BE39" s="135">
        <f t="shared" si="6"/>
        <v>2127931.92</v>
      </c>
      <c r="BF39" s="135">
        <f t="shared" si="7"/>
        <v>2140461.33</v>
      </c>
      <c r="BG39" s="129">
        <f t="shared" si="26"/>
        <v>49.81242307269148</v>
      </c>
      <c r="BH39" s="37">
        <v>13752</v>
      </c>
      <c r="BI39" s="37">
        <f t="shared" si="24"/>
        <v>2141683.92</v>
      </c>
    </row>
    <row r="40" spans="1:61" s="64" customFormat="1" x14ac:dyDescent="0.55000000000000004">
      <c r="A40" s="138">
        <v>34</v>
      </c>
      <c r="B40" s="128" t="s">
        <v>38</v>
      </c>
      <c r="C40" s="129">
        <f t="shared" si="8"/>
        <v>180000</v>
      </c>
      <c r="D40" s="129"/>
      <c r="E40" s="133">
        <v>24925</v>
      </c>
      <c r="F40" s="129">
        <f t="shared" si="9"/>
        <v>155075</v>
      </c>
      <c r="G40" s="129">
        <f>159000</f>
        <v>159000</v>
      </c>
      <c r="H40" s="133"/>
      <c r="I40" s="133">
        <v>86060</v>
      </c>
      <c r="J40" s="129">
        <f t="shared" si="10"/>
        <v>72940</v>
      </c>
      <c r="K40" s="129">
        <f t="shared" si="11"/>
        <v>340000</v>
      </c>
      <c r="L40" s="133"/>
      <c r="M40" s="133"/>
      <c r="N40" s="129">
        <f t="shared" si="12"/>
        <v>340000</v>
      </c>
      <c r="O40" s="129"/>
      <c r="P40" s="129"/>
      <c r="Q40" s="129"/>
      <c r="R40" s="129">
        <f t="shared" si="13"/>
        <v>0</v>
      </c>
      <c r="S40" s="129">
        <f t="shared" si="14"/>
        <v>950000</v>
      </c>
      <c r="T40" s="133"/>
      <c r="U40" s="133">
        <v>535506.9</v>
      </c>
      <c r="V40" s="129">
        <f t="shared" si="15"/>
        <v>414493.1</v>
      </c>
      <c r="W40" s="129">
        <f>1649000+878890</f>
        <v>2527890</v>
      </c>
      <c r="X40" s="133"/>
      <c r="Y40" s="133">
        <v>1647000</v>
      </c>
      <c r="Z40" s="129">
        <f t="shared" si="16"/>
        <v>880890</v>
      </c>
      <c r="AA40" s="129"/>
      <c r="AB40" s="129"/>
      <c r="AC40" s="129"/>
      <c r="AD40" s="129">
        <f t="shared" si="17"/>
        <v>0</v>
      </c>
      <c r="AE40" s="129">
        <f>220000-220000</f>
        <v>0</v>
      </c>
      <c r="AF40" s="133"/>
      <c r="AG40" s="133"/>
      <c r="AH40" s="129">
        <f t="shared" si="18"/>
        <v>0</v>
      </c>
      <c r="AI40" s="129">
        <f>70000+30000-10000</f>
        <v>90000</v>
      </c>
      <c r="AJ40" s="129"/>
      <c r="AK40" s="133">
        <v>62175</v>
      </c>
      <c r="AL40" s="129">
        <f t="shared" si="19"/>
        <v>27825</v>
      </c>
      <c r="AM40" s="129">
        <f>40000</f>
        <v>40000</v>
      </c>
      <c r="AN40" s="129"/>
      <c r="AO40" s="133"/>
      <c r="AP40" s="129">
        <f t="shared" si="20"/>
        <v>40000</v>
      </c>
      <c r="AQ40" s="129"/>
      <c r="AR40" s="129"/>
      <c r="AS40" s="129"/>
      <c r="AT40" s="129">
        <f t="shared" si="21"/>
        <v>0</v>
      </c>
      <c r="AU40" s="129"/>
      <c r="AV40" s="129"/>
      <c r="AW40" s="133"/>
      <c r="AX40" s="129">
        <f t="shared" si="22"/>
        <v>0</v>
      </c>
      <c r="AY40" s="129"/>
      <c r="AZ40" s="129"/>
      <c r="BA40" s="129"/>
      <c r="BB40" s="129">
        <f t="shared" si="23"/>
        <v>0</v>
      </c>
      <c r="BC40" s="135">
        <f t="shared" si="1"/>
        <v>4286890</v>
      </c>
      <c r="BD40" s="135">
        <f t="shared" si="5"/>
        <v>0</v>
      </c>
      <c r="BE40" s="135">
        <f t="shared" si="6"/>
        <v>2355666.9</v>
      </c>
      <c r="BF40" s="135">
        <f t="shared" si="7"/>
        <v>1931223.1</v>
      </c>
      <c r="BG40" s="129">
        <f t="shared" si="26"/>
        <v>54.95048624993877</v>
      </c>
      <c r="BH40" s="37">
        <v>17277</v>
      </c>
      <c r="BI40" s="37">
        <f t="shared" si="24"/>
        <v>2372943.9</v>
      </c>
    </row>
    <row r="41" spans="1:61" s="64" customFormat="1" x14ac:dyDescent="0.55000000000000004">
      <c r="A41" s="138">
        <v>35</v>
      </c>
      <c r="B41" s="128" t="s">
        <v>39</v>
      </c>
      <c r="C41" s="129">
        <f t="shared" si="8"/>
        <v>180000</v>
      </c>
      <c r="D41" s="129"/>
      <c r="E41" s="133">
        <v>112800</v>
      </c>
      <c r="F41" s="129">
        <f t="shared" si="9"/>
        <v>67200</v>
      </c>
      <c r="G41" s="129">
        <f>129000</f>
        <v>129000</v>
      </c>
      <c r="H41" s="133"/>
      <c r="I41" s="133">
        <v>95500</v>
      </c>
      <c r="J41" s="129">
        <f t="shared" si="10"/>
        <v>33500</v>
      </c>
      <c r="K41" s="129">
        <f t="shared" si="11"/>
        <v>340000</v>
      </c>
      <c r="L41" s="133"/>
      <c r="M41" s="133"/>
      <c r="N41" s="129">
        <f t="shared" si="12"/>
        <v>340000</v>
      </c>
      <c r="O41" s="129">
        <f>200000+200000</f>
        <v>400000</v>
      </c>
      <c r="P41" s="129"/>
      <c r="Q41" s="129">
        <v>132000</v>
      </c>
      <c r="R41" s="129">
        <f t="shared" si="13"/>
        <v>268000</v>
      </c>
      <c r="S41" s="129">
        <f t="shared" si="14"/>
        <v>950000</v>
      </c>
      <c r="T41" s="133"/>
      <c r="U41" s="133">
        <v>400094.67</v>
      </c>
      <c r="V41" s="129">
        <f t="shared" si="15"/>
        <v>549905.33000000007</v>
      </c>
      <c r="W41" s="129">
        <f>1649000+878890</f>
        <v>2527890</v>
      </c>
      <c r="X41" s="133">
        <v>1320000</v>
      </c>
      <c r="Y41" s="133">
        <v>355875</v>
      </c>
      <c r="Z41" s="129">
        <f t="shared" si="16"/>
        <v>852015</v>
      </c>
      <c r="AA41" s="129"/>
      <c r="AB41" s="129"/>
      <c r="AC41" s="129"/>
      <c r="AD41" s="129">
        <f t="shared" si="17"/>
        <v>0</v>
      </c>
      <c r="AE41" s="129">
        <f>230300</f>
        <v>230300</v>
      </c>
      <c r="AF41" s="133"/>
      <c r="AG41" s="133">
        <v>230300</v>
      </c>
      <c r="AH41" s="129">
        <f t="shared" si="18"/>
        <v>0</v>
      </c>
      <c r="AI41" s="129">
        <f>70000+30000-20000</f>
        <v>80000</v>
      </c>
      <c r="AJ41" s="129"/>
      <c r="AK41" s="133">
        <v>58619.9</v>
      </c>
      <c r="AL41" s="129">
        <f t="shared" si="19"/>
        <v>21380.1</v>
      </c>
      <c r="AM41" s="129">
        <f>40000</f>
        <v>40000</v>
      </c>
      <c r="AN41" s="129"/>
      <c r="AO41" s="133"/>
      <c r="AP41" s="129">
        <f t="shared" si="20"/>
        <v>40000</v>
      </c>
      <c r="AQ41" s="129"/>
      <c r="AR41" s="129"/>
      <c r="AS41" s="129"/>
      <c r="AT41" s="129">
        <f t="shared" si="21"/>
        <v>0</v>
      </c>
      <c r="AU41" s="129"/>
      <c r="AV41" s="129"/>
      <c r="AW41" s="133"/>
      <c r="AX41" s="129">
        <f t="shared" si="22"/>
        <v>0</v>
      </c>
      <c r="AY41" s="129"/>
      <c r="AZ41" s="129"/>
      <c r="BA41" s="129"/>
      <c r="BB41" s="129">
        <f t="shared" si="23"/>
        <v>0</v>
      </c>
      <c r="BC41" s="135">
        <f t="shared" si="1"/>
        <v>4877190</v>
      </c>
      <c r="BD41" s="135">
        <f t="shared" si="5"/>
        <v>1320000</v>
      </c>
      <c r="BE41" s="135">
        <f t="shared" si="6"/>
        <v>1385189.5699999998</v>
      </c>
      <c r="BF41" s="135">
        <f t="shared" si="7"/>
        <v>2172000.4300000002</v>
      </c>
      <c r="BG41" s="129">
        <f t="shared" si="26"/>
        <v>28.401386249049139</v>
      </c>
      <c r="BH41" s="37">
        <v>16309</v>
      </c>
      <c r="BI41" s="37">
        <f t="shared" si="24"/>
        <v>1401498.5699999998</v>
      </c>
    </row>
    <row r="42" spans="1:61" s="64" customFormat="1" x14ac:dyDescent="0.55000000000000004">
      <c r="A42" s="138">
        <v>36</v>
      </c>
      <c r="B42" s="128" t="s">
        <v>40</v>
      </c>
      <c r="C42" s="129">
        <f t="shared" si="8"/>
        <v>180000</v>
      </c>
      <c r="D42" s="129"/>
      <c r="E42" s="133">
        <v>30206</v>
      </c>
      <c r="F42" s="129">
        <f t="shared" si="9"/>
        <v>149794</v>
      </c>
      <c r="G42" s="129">
        <f>104000</f>
        <v>104000</v>
      </c>
      <c r="H42" s="133"/>
      <c r="I42" s="133">
        <v>95259.77</v>
      </c>
      <c r="J42" s="129">
        <f t="shared" si="10"/>
        <v>8740.2299999999959</v>
      </c>
      <c r="K42" s="129">
        <f t="shared" si="11"/>
        <v>340000</v>
      </c>
      <c r="L42" s="133"/>
      <c r="M42" s="133"/>
      <c r="N42" s="129">
        <f t="shared" si="12"/>
        <v>340000</v>
      </c>
      <c r="O42" s="129">
        <f>200000+200000</f>
        <v>400000</v>
      </c>
      <c r="P42" s="129"/>
      <c r="Q42" s="129">
        <v>175500</v>
      </c>
      <c r="R42" s="129">
        <f t="shared" si="13"/>
        <v>224500</v>
      </c>
      <c r="S42" s="129">
        <f t="shared" si="14"/>
        <v>950000</v>
      </c>
      <c r="T42" s="133"/>
      <c r="U42" s="133">
        <v>492080.94</v>
      </c>
      <c r="V42" s="129">
        <f t="shared" si="15"/>
        <v>457919.06</v>
      </c>
      <c r="W42" s="129">
        <f>1529000+878890</f>
        <v>2407890</v>
      </c>
      <c r="X42" s="133"/>
      <c r="Y42" s="133">
        <v>1460900</v>
      </c>
      <c r="Z42" s="129">
        <f t="shared" si="16"/>
        <v>946990</v>
      </c>
      <c r="AA42" s="129"/>
      <c r="AB42" s="129"/>
      <c r="AC42" s="129"/>
      <c r="AD42" s="129">
        <f t="shared" si="17"/>
        <v>0</v>
      </c>
      <c r="AE42" s="129">
        <f>190000</f>
        <v>190000</v>
      </c>
      <c r="AF42" s="133"/>
      <c r="AG42" s="133">
        <v>190000</v>
      </c>
      <c r="AH42" s="129">
        <f t="shared" si="18"/>
        <v>0</v>
      </c>
      <c r="AI42" s="129">
        <f>70000+30000-25000</f>
        <v>75000</v>
      </c>
      <c r="AJ42" s="129"/>
      <c r="AK42" s="133">
        <v>48187</v>
      </c>
      <c r="AL42" s="129">
        <f t="shared" si="19"/>
        <v>26813</v>
      </c>
      <c r="AM42" s="129">
        <f>40000</f>
        <v>40000</v>
      </c>
      <c r="AN42" s="129"/>
      <c r="AO42" s="133">
        <v>40000</v>
      </c>
      <c r="AP42" s="129">
        <f t="shared" si="20"/>
        <v>0</v>
      </c>
      <c r="AQ42" s="129"/>
      <c r="AR42" s="129"/>
      <c r="AS42" s="129"/>
      <c r="AT42" s="129">
        <f t="shared" si="21"/>
        <v>0</v>
      </c>
      <c r="AU42" s="129"/>
      <c r="AV42" s="129"/>
      <c r="AW42" s="133"/>
      <c r="AX42" s="129">
        <f t="shared" si="22"/>
        <v>0</v>
      </c>
      <c r="AY42" s="129"/>
      <c r="AZ42" s="129"/>
      <c r="BA42" s="129"/>
      <c r="BB42" s="129">
        <f t="shared" si="23"/>
        <v>0</v>
      </c>
      <c r="BC42" s="135">
        <f t="shared" si="1"/>
        <v>4686890</v>
      </c>
      <c r="BD42" s="135">
        <f t="shared" si="5"/>
        <v>0</v>
      </c>
      <c r="BE42" s="135">
        <f t="shared" si="6"/>
        <v>2532133.71</v>
      </c>
      <c r="BF42" s="135">
        <f t="shared" si="7"/>
        <v>2154756.29</v>
      </c>
      <c r="BG42" s="129">
        <f t="shared" si="26"/>
        <v>54.025883048247344</v>
      </c>
      <c r="BH42" s="37">
        <v>23978</v>
      </c>
      <c r="BI42" s="37">
        <f t="shared" si="24"/>
        <v>2556111.71</v>
      </c>
    </row>
    <row r="43" spans="1:61" s="64" customFormat="1" x14ac:dyDescent="0.55000000000000004">
      <c r="A43" s="138">
        <v>37</v>
      </c>
      <c r="B43" s="128" t="s">
        <v>41</v>
      </c>
      <c r="C43" s="129">
        <f t="shared" si="8"/>
        <v>180000</v>
      </c>
      <c r="D43" s="129"/>
      <c r="E43" s="133">
        <v>80000</v>
      </c>
      <c r="F43" s="129">
        <f t="shared" si="9"/>
        <v>100000</v>
      </c>
      <c r="G43" s="129">
        <f>195700</f>
        <v>195700</v>
      </c>
      <c r="H43" s="133"/>
      <c r="I43" s="133">
        <v>170730.15</v>
      </c>
      <c r="J43" s="129">
        <f t="shared" si="10"/>
        <v>24969.850000000006</v>
      </c>
      <c r="K43" s="129">
        <f t="shared" si="11"/>
        <v>340000</v>
      </c>
      <c r="L43" s="133"/>
      <c r="M43" s="133"/>
      <c r="N43" s="129">
        <f t="shared" si="12"/>
        <v>340000</v>
      </c>
      <c r="O43" s="129"/>
      <c r="P43" s="129"/>
      <c r="Q43" s="129"/>
      <c r="R43" s="129">
        <f t="shared" si="13"/>
        <v>0</v>
      </c>
      <c r="S43" s="129">
        <f t="shared" si="14"/>
        <v>950000</v>
      </c>
      <c r="T43" s="133"/>
      <c r="U43" s="133">
        <v>535312.68000000005</v>
      </c>
      <c r="V43" s="129">
        <f t="shared" si="15"/>
        <v>414687.31999999995</v>
      </c>
      <c r="W43" s="129">
        <f>1649000+878890</f>
        <v>2527890</v>
      </c>
      <c r="X43" s="133"/>
      <c r="Y43" s="133">
        <v>856700</v>
      </c>
      <c r="Z43" s="129">
        <f t="shared" si="16"/>
        <v>1671190</v>
      </c>
      <c r="AA43" s="129"/>
      <c r="AB43" s="129"/>
      <c r="AC43" s="129"/>
      <c r="AD43" s="129">
        <f t="shared" si="17"/>
        <v>0</v>
      </c>
      <c r="AE43" s="129">
        <f>220000</f>
        <v>220000</v>
      </c>
      <c r="AF43" s="133"/>
      <c r="AG43" s="133">
        <v>220000</v>
      </c>
      <c r="AH43" s="129">
        <f t="shared" si="18"/>
        <v>0</v>
      </c>
      <c r="AI43" s="129">
        <f>70000+30000-20000</f>
        <v>80000</v>
      </c>
      <c r="AJ43" s="129"/>
      <c r="AK43" s="133">
        <v>51724</v>
      </c>
      <c r="AL43" s="129">
        <f t="shared" si="19"/>
        <v>28276</v>
      </c>
      <c r="AM43" s="129">
        <f>40000</f>
        <v>40000</v>
      </c>
      <c r="AN43" s="129"/>
      <c r="AO43" s="133"/>
      <c r="AP43" s="129">
        <f t="shared" si="20"/>
        <v>40000</v>
      </c>
      <c r="AQ43" s="129"/>
      <c r="AR43" s="129"/>
      <c r="AS43" s="129"/>
      <c r="AT43" s="129">
        <f t="shared" si="21"/>
        <v>0</v>
      </c>
      <c r="AU43" s="129"/>
      <c r="AV43" s="129"/>
      <c r="AW43" s="133"/>
      <c r="AX43" s="129">
        <f t="shared" si="22"/>
        <v>0</v>
      </c>
      <c r="AY43" s="129"/>
      <c r="AZ43" s="129"/>
      <c r="BA43" s="129"/>
      <c r="BB43" s="129">
        <f t="shared" si="23"/>
        <v>0</v>
      </c>
      <c r="BC43" s="135">
        <f t="shared" si="1"/>
        <v>4533590</v>
      </c>
      <c r="BD43" s="135">
        <f t="shared" si="5"/>
        <v>0</v>
      </c>
      <c r="BE43" s="135">
        <f t="shared" si="6"/>
        <v>1914466.83</v>
      </c>
      <c r="BF43" s="135">
        <f t="shared" si="7"/>
        <v>2619123.17</v>
      </c>
      <c r="BG43" s="129">
        <f t="shared" si="26"/>
        <v>42.228495077852209</v>
      </c>
      <c r="BH43" s="37">
        <v>30120</v>
      </c>
      <c r="BI43" s="37">
        <f t="shared" si="24"/>
        <v>1944586.83</v>
      </c>
    </row>
    <row r="44" spans="1:61" s="64" customFormat="1" ht="20.45" customHeight="1" x14ac:dyDescent="0.55000000000000004">
      <c r="A44" s="138">
        <v>38</v>
      </c>
      <c r="B44" s="128" t="s">
        <v>42</v>
      </c>
      <c r="C44" s="129">
        <f t="shared" si="8"/>
        <v>180000</v>
      </c>
      <c r="D44" s="129"/>
      <c r="E44" s="133">
        <v>38910</v>
      </c>
      <c r="F44" s="129">
        <f t="shared" si="9"/>
        <v>141090</v>
      </c>
      <c r="G44" s="129">
        <f>109000</f>
        <v>109000</v>
      </c>
      <c r="H44" s="133"/>
      <c r="I44" s="133">
        <v>100714</v>
      </c>
      <c r="J44" s="129">
        <f t="shared" si="10"/>
        <v>8286</v>
      </c>
      <c r="K44" s="129">
        <f t="shared" si="11"/>
        <v>340000</v>
      </c>
      <c r="L44" s="133"/>
      <c r="M44" s="133">
        <v>340000</v>
      </c>
      <c r="N44" s="129">
        <f t="shared" si="12"/>
        <v>0</v>
      </c>
      <c r="O44" s="129"/>
      <c r="P44" s="129"/>
      <c r="Q44" s="129"/>
      <c r="R44" s="129">
        <f t="shared" si="13"/>
        <v>0</v>
      </c>
      <c r="S44" s="129">
        <f t="shared" si="14"/>
        <v>950000</v>
      </c>
      <c r="T44" s="133"/>
      <c r="U44" s="133">
        <v>553605.79</v>
      </c>
      <c r="V44" s="129">
        <f t="shared" si="15"/>
        <v>396394.20999999996</v>
      </c>
      <c r="W44" s="129">
        <f>1529000+878890</f>
        <v>2407890</v>
      </c>
      <c r="X44" s="133"/>
      <c r="Y44" s="133">
        <v>16800</v>
      </c>
      <c r="Z44" s="129">
        <f t="shared" si="16"/>
        <v>2391090</v>
      </c>
      <c r="AA44" s="129"/>
      <c r="AB44" s="129"/>
      <c r="AC44" s="129"/>
      <c r="AD44" s="129">
        <f t="shared" si="17"/>
        <v>0</v>
      </c>
      <c r="AE44" s="129">
        <f>189870-148720</f>
        <v>41150</v>
      </c>
      <c r="AF44" s="133"/>
      <c r="AG44" s="133">
        <v>41150</v>
      </c>
      <c r="AH44" s="129">
        <f t="shared" si="18"/>
        <v>0</v>
      </c>
      <c r="AI44" s="129">
        <f>70000+30000-30000</f>
        <v>70000</v>
      </c>
      <c r="AJ44" s="129"/>
      <c r="AK44" s="133">
        <v>37683</v>
      </c>
      <c r="AL44" s="129">
        <f t="shared" si="19"/>
        <v>32317</v>
      </c>
      <c r="AM44" s="129">
        <f>40000</f>
        <v>40000</v>
      </c>
      <c r="AN44" s="129"/>
      <c r="AO44" s="133"/>
      <c r="AP44" s="129">
        <f t="shared" si="20"/>
        <v>40000</v>
      </c>
      <c r="AQ44" s="129"/>
      <c r="AR44" s="129"/>
      <c r="AS44" s="129"/>
      <c r="AT44" s="129">
        <f t="shared" si="21"/>
        <v>0</v>
      </c>
      <c r="AU44" s="129"/>
      <c r="AV44" s="129"/>
      <c r="AW44" s="133"/>
      <c r="AX44" s="129">
        <f t="shared" si="22"/>
        <v>0</v>
      </c>
      <c r="AY44" s="129"/>
      <c r="AZ44" s="129"/>
      <c r="BA44" s="129"/>
      <c r="BB44" s="129">
        <f t="shared" si="23"/>
        <v>0</v>
      </c>
      <c r="BC44" s="135">
        <f t="shared" si="1"/>
        <v>4138040</v>
      </c>
      <c r="BD44" s="135">
        <f t="shared" si="5"/>
        <v>0</v>
      </c>
      <c r="BE44" s="135">
        <f t="shared" si="6"/>
        <v>1128862.79</v>
      </c>
      <c r="BF44" s="135">
        <f t="shared" si="7"/>
        <v>3009177.21</v>
      </c>
      <c r="BG44" s="129">
        <f t="shared" si="26"/>
        <v>27.280132381513955</v>
      </c>
      <c r="BH44" s="37">
        <v>25930</v>
      </c>
      <c r="BI44" s="37">
        <f t="shared" si="24"/>
        <v>1154792.79</v>
      </c>
    </row>
    <row r="45" spans="1:61" s="64" customFormat="1" x14ac:dyDescent="0.55000000000000004">
      <c r="A45" s="138">
        <v>39</v>
      </c>
      <c r="B45" s="128" t="s">
        <v>43</v>
      </c>
      <c r="C45" s="129">
        <f t="shared" si="8"/>
        <v>180000</v>
      </c>
      <c r="D45" s="129"/>
      <c r="E45" s="133">
        <v>39666</v>
      </c>
      <c r="F45" s="129">
        <f t="shared" si="9"/>
        <v>140334</v>
      </c>
      <c r="G45" s="129">
        <f>134000</f>
        <v>134000</v>
      </c>
      <c r="H45" s="133"/>
      <c r="I45" s="133">
        <v>133999.25</v>
      </c>
      <c r="J45" s="129">
        <f t="shared" si="10"/>
        <v>0.75</v>
      </c>
      <c r="K45" s="129">
        <f t="shared" si="11"/>
        <v>340000</v>
      </c>
      <c r="L45" s="133"/>
      <c r="M45" s="133"/>
      <c r="N45" s="129">
        <f t="shared" si="12"/>
        <v>340000</v>
      </c>
      <c r="O45" s="129"/>
      <c r="P45" s="129"/>
      <c r="Q45" s="129"/>
      <c r="R45" s="129">
        <f t="shared" si="13"/>
        <v>0</v>
      </c>
      <c r="S45" s="129">
        <f t="shared" si="14"/>
        <v>950000</v>
      </c>
      <c r="T45" s="133"/>
      <c r="U45" s="133">
        <v>459730.75</v>
      </c>
      <c r="V45" s="129">
        <f t="shared" si="15"/>
        <v>490269.25</v>
      </c>
      <c r="W45" s="129">
        <f>1649000+878890</f>
        <v>2527890</v>
      </c>
      <c r="X45" s="133"/>
      <c r="Y45" s="133">
        <v>1677418</v>
      </c>
      <c r="Z45" s="129">
        <f t="shared" si="16"/>
        <v>850472</v>
      </c>
      <c r="AA45" s="129">
        <f>473999</f>
        <v>473999</v>
      </c>
      <c r="AB45" s="129"/>
      <c r="AC45" s="129">
        <v>473999</v>
      </c>
      <c r="AD45" s="129">
        <f t="shared" si="17"/>
        <v>0</v>
      </c>
      <c r="AE45" s="129">
        <f>220000-220000</f>
        <v>0</v>
      </c>
      <c r="AF45" s="133"/>
      <c r="AG45" s="133"/>
      <c r="AH45" s="129">
        <f t="shared" si="18"/>
        <v>0</v>
      </c>
      <c r="AI45" s="129">
        <f>70000+30000-10000</f>
        <v>90000</v>
      </c>
      <c r="AJ45" s="129"/>
      <c r="AK45" s="133">
        <v>67320</v>
      </c>
      <c r="AL45" s="129">
        <f t="shared" si="19"/>
        <v>22680</v>
      </c>
      <c r="AM45" s="129">
        <f>40000</f>
        <v>40000</v>
      </c>
      <c r="AN45" s="129"/>
      <c r="AO45" s="133"/>
      <c r="AP45" s="129">
        <f t="shared" si="20"/>
        <v>40000</v>
      </c>
      <c r="AQ45" s="129"/>
      <c r="AR45" s="129"/>
      <c r="AS45" s="129"/>
      <c r="AT45" s="129">
        <f t="shared" si="21"/>
        <v>0</v>
      </c>
      <c r="AU45" s="129"/>
      <c r="AV45" s="129"/>
      <c r="AW45" s="133"/>
      <c r="AX45" s="129">
        <f t="shared" si="22"/>
        <v>0</v>
      </c>
      <c r="AY45" s="129"/>
      <c r="AZ45" s="129"/>
      <c r="BA45" s="129"/>
      <c r="BB45" s="129">
        <f t="shared" si="23"/>
        <v>0</v>
      </c>
      <c r="BC45" s="135">
        <f t="shared" si="1"/>
        <v>4735889</v>
      </c>
      <c r="BD45" s="135">
        <f t="shared" si="5"/>
        <v>0</v>
      </c>
      <c r="BE45" s="135">
        <f t="shared" si="6"/>
        <v>2852133</v>
      </c>
      <c r="BF45" s="135">
        <f t="shared" si="7"/>
        <v>1883756</v>
      </c>
      <c r="BG45" s="129">
        <f t="shared" si="26"/>
        <v>60.223814367270855</v>
      </c>
      <c r="BH45" s="37">
        <v>47520</v>
      </c>
      <c r="BI45" s="37">
        <f t="shared" si="24"/>
        <v>2899653</v>
      </c>
    </row>
    <row r="46" spans="1:61" s="64" customFormat="1" x14ac:dyDescent="0.55000000000000004">
      <c r="A46" s="138">
        <v>40</v>
      </c>
      <c r="B46" s="128" t="s">
        <v>44</v>
      </c>
      <c r="C46" s="129">
        <f t="shared" si="8"/>
        <v>180000</v>
      </c>
      <c r="D46" s="129"/>
      <c r="E46" s="133">
        <v>56560</v>
      </c>
      <c r="F46" s="129">
        <f t="shared" si="9"/>
        <v>123440</v>
      </c>
      <c r="G46" s="129">
        <f>114000</f>
        <v>114000</v>
      </c>
      <c r="H46" s="133"/>
      <c r="I46" s="133">
        <v>114000</v>
      </c>
      <c r="J46" s="129">
        <f t="shared" si="10"/>
        <v>0</v>
      </c>
      <c r="K46" s="129">
        <f t="shared" si="11"/>
        <v>340000</v>
      </c>
      <c r="L46" s="133"/>
      <c r="M46" s="133"/>
      <c r="N46" s="129">
        <f t="shared" si="12"/>
        <v>340000</v>
      </c>
      <c r="O46" s="129"/>
      <c r="P46" s="129"/>
      <c r="Q46" s="129"/>
      <c r="R46" s="129">
        <f t="shared" si="13"/>
        <v>0</v>
      </c>
      <c r="S46" s="129">
        <f t="shared" si="14"/>
        <v>950000</v>
      </c>
      <c r="T46" s="133"/>
      <c r="U46" s="133">
        <v>490514.03</v>
      </c>
      <c r="V46" s="129">
        <f t="shared" si="15"/>
        <v>459485.97</v>
      </c>
      <c r="W46" s="129">
        <f>1529000+878890</f>
        <v>2407890</v>
      </c>
      <c r="X46" s="133"/>
      <c r="Y46" s="133">
        <v>2407890</v>
      </c>
      <c r="Z46" s="129">
        <f t="shared" si="16"/>
        <v>0</v>
      </c>
      <c r="AA46" s="129"/>
      <c r="AB46" s="129"/>
      <c r="AC46" s="129"/>
      <c r="AD46" s="129">
        <f t="shared" si="17"/>
        <v>0</v>
      </c>
      <c r="AE46" s="129">
        <f>190000-190000</f>
        <v>0</v>
      </c>
      <c r="AF46" s="133"/>
      <c r="AG46" s="133"/>
      <c r="AH46" s="129">
        <f t="shared" si="18"/>
        <v>0</v>
      </c>
      <c r="AI46" s="129">
        <f>70000+30000-10000</f>
        <v>90000</v>
      </c>
      <c r="AJ46" s="129"/>
      <c r="AK46" s="133">
        <v>77727</v>
      </c>
      <c r="AL46" s="129">
        <f t="shared" si="19"/>
        <v>12273</v>
      </c>
      <c r="AM46" s="129">
        <f>40000</f>
        <v>40000</v>
      </c>
      <c r="AN46" s="129"/>
      <c r="AO46" s="133">
        <v>40000</v>
      </c>
      <c r="AP46" s="129">
        <f t="shared" si="20"/>
        <v>0</v>
      </c>
      <c r="AQ46" s="129"/>
      <c r="AR46" s="129"/>
      <c r="AS46" s="129"/>
      <c r="AT46" s="129">
        <f t="shared" si="21"/>
        <v>0</v>
      </c>
      <c r="AU46" s="129"/>
      <c r="AV46" s="129"/>
      <c r="AW46" s="133"/>
      <c r="AX46" s="129">
        <f t="shared" si="22"/>
        <v>0</v>
      </c>
      <c r="AY46" s="129"/>
      <c r="AZ46" s="129"/>
      <c r="BA46" s="129"/>
      <c r="BB46" s="129">
        <f t="shared" si="23"/>
        <v>0</v>
      </c>
      <c r="BC46" s="135">
        <f t="shared" si="1"/>
        <v>4121890</v>
      </c>
      <c r="BD46" s="135">
        <f t="shared" si="5"/>
        <v>0</v>
      </c>
      <c r="BE46" s="135">
        <f t="shared" si="6"/>
        <v>3186691.0300000003</v>
      </c>
      <c r="BF46" s="135">
        <f t="shared" si="7"/>
        <v>935198.97</v>
      </c>
      <c r="BG46" s="129">
        <f t="shared" si="26"/>
        <v>77.3114039918581</v>
      </c>
      <c r="BH46" s="37">
        <f>7650+3718</f>
        <v>11368</v>
      </c>
      <c r="BI46" s="37">
        <f t="shared" si="24"/>
        <v>3198059.0300000003</v>
      </c>
    </row>
    <row r="47" spans="1:61" s="64" customFormat="1" x14ac:dyDescent="0.55000000000000004">
      <c r="A47" s="138">
        <v>41</v>
      </c>
      <c r="B47" s="128" t="s">
        <v>45</v>
      </c>
      <c r="C47" s="129">
        <f t="shared" si="8"/>
        <v>180000</v>
      </c>
      <c r="D47" s="129"/>
      <c r="E47" s="133">
        <v>98200</v>
      </c>
      <c r="F47" s="129">
        <f t="shared" si="9"/>
        <v>81800</v>
      </c>
      <c r="G47" s="129">
        <f>109000</f>
        <v>109000</v>
      </c>
      <c r="H47" s="133"/>
      <c r="I47" s="133">
        <v>82775</v>
      </c>
      <c r="J47" s="129">
        <f t="shared" si="10"/>
        <v>26225</v>
      </c>
      <c r="K47" s="129">
        <f t="shared" si="11"/>
        <v>340000</v>
      </c>
      <c r="L47" s="133"/>
      <c r="M47" s="133"/>
      <c r="N47" s="129">
        <f t="shared" si="12"/>
        <v>340000</v>
      </c>
      <c r="O47" s="129"/>
      <c r="P47" s="129"/>
      <c r="Q47" s="129"/>
      <c r="R47" s="129">
        <f t="shared" si="13"/>
        <v>0</v>
      </c>
      <c r="S47" s="129">
        <f t="shared" si="14"/>
        <v>950000</v>
      </c>
      <c r="T47" s="133"/>
      <c r="U47" s="133">
        <v>456459.14</v>
      </c>
      <c r="V47" s="129">
        <f t="shared" si="15"/>
        <v>493540.86</v>
      </c>
      <c r="W47" s="129">
        <f>1589000+878890+499000</f>
        <v>2966890</v>
      </c>
      <c r="X47" s="133">
        <v>1026750</v>
      </c>
      <c r="Y47" s="133">
        <v>304000</v>
      </c>
      <c r="Z47" s="129">
        <f t="shared" si="16"/>
        <v>1636140</v>
      </c>
      <c r="AA47" s="129"/>
      <c r="AB47" s="129"/>
      <c r="AC47" s="129"/>
      <c r="AD47" s="129">
        <f t="shared" si="17"/>
        <v>0</v>
      </c>
      <c r="AE47" s="129">
        <f>190000-190000</f>
        <v>0</v>
      </c>
      <c r="AF47" s="133"/>
      <c r="AG47" s="133"/>
      <c r="AH47" s="129">
        <f t="shared" si="18"/>
        <v>0</v>
      </c>
      <c r="AI47" s="129">
        <f>70000+30000-30000</f>
        <v>70000</v>
      </c>
      <c r="AJ47" s="129"/>
      <c r="AK47" s="133">
        <v>39684</v>
      </c>
      <c r="AL47" s="129">
        <f t="shared" si="19"/>
        <v>30316</v>
      </c>
      <c r="AM47" s="129">
        <f>40000</f>
        <v>40000</v>
      </c>
      <c r="AN47" s="129"/>
      <c r="AO47" s="133"/>
      <c r="AP47" s="129">
        <f t="shared" si="20"/>
        <v>40000</v>
      </c>
      <c r="AQ47" s="129"/>
      <c r="AR47" s="129"/>
      <c r="AS47" s="129"/>
      <c r="AT47" s="129">
        <f t="shared" si="21"/>
        <v>0</v>
      </c>
      <c r="AU47" s="129"/>
      <c r="AV47" s="129"/>
      <c r="AW47" s="133"/>
      <c r="AX47" s="129">
        <f t="shared" si="22"/>
        <v>0</v>
      </c>
      <c r="AY47" s="129"/>
      <c r="AZ47" s="129"/>
      <c r="BA47" s="129"/>
      <c r="BB47" s="129">
        <f t="shared" si="23"/>
        <v>0</v>
      </c>
      <c r="BC47" s="135">
        <f t="shared" si="1"/>
        <v>4655890</v>
      </c>
      <c r="BD47" s="135">
        <f t="shared" si="5"/>
        <v>1026750</v>
      </c>
      <c r="BE47" s="135">
        <f t="shared" si="6"/>
        <v>981118.14</v>
      </c>
      <c r="BF47" s="135">
        <f t="shared" si="7"/>
        <v>2648021.86</v>
      </c>
      <c r="BG47" s="129">
        <f t="shared" si="26"/>
        <v>21.072622849766638</v>
      </c>
      <c r="BH47" s="37">
        <v>13562</v>
      </c>
      <c r="BI47" s="37">
        <f t="shared" si="24"/>
        <v>994680.14</v>
      </c>
    </row>
    <row r="48" spans="1:61" s="64" customFormat="1" x14ac:dyDescent="0.55000000000000004">
      <c r="A48" s="138">
        <v>42</v>
      </c>
      <c r="B48" s="128" t="s">
        <v>46</v>
      </c>
      <c r="C48" s="129">
        <f t="shared" si="8"/>
        <v>180000</v>
      </c>
      <c r="D48" s="129"/>
      <c r="E48" s="133">
        <v>88000</v>
      </c>
      <c r="F48" s="129">
        <f t="shared" si="9"/>
        <v>92000</v>
      </c>
      <c r="G48" s="129">
        <f>144000</f>
        <v>144000</v>
      </c>
      <c r="H48" s="133"/>
      <c r="I48" s="133">
        <v>116900.89</v>
      </c>
      <c r="J48" s="129">
        <f t="shared" si="10"/>
        <v>27099.11</v>
      </c>
      <c r="K48" s="129">
        <f t="shared" si="11"/>
        <v>340000</v>
      </c>
      <c r="L48" s="133"/>
      <c r="M48" s="133"/>
      <c r="N48" s="129">
        <f t="shared" si="12"/>
        <v>340000</v>
      </c>
      <c r="O48" s="129"/>
      <c r="P48" s="129"/>
      <c r="Q48" s="129"/>
      <c r="R48" s="129">
        <f t="shared" si="13"/>
        <v>0</v>
      </c>
      <c r="S48" s="129">
        <f t="shared" si="14"/>
        <v>950000</v>
      </c>
      <c r="T48" s="133"/>
      <c r="U48" s="133">
        <v>576163.14</v>
      </c>
      <c r="V48" s="129">
        <f t="shared" si="15"/>
        <v>373836.86</v>
      </c>
      <c r="W48" s="129">
        <f>1589000+100000+878890</f>
        <v>2567890</v>
      </c>
      <c r="X48" s="133">
        <v>23250</v>
      </c>
      <c r="Y48" s="133">
        <v>288490</v>
      </c>
      <c r="Z48" s="129">
        <f t="shared" si="16"/>
        <v>2256150</v>
      </c>
      <c r="AA48" s="129"/>
      <c r="AB48" s="129"/>
      <c r="AC48" s="129"/>
      <c r="AD48" s="129">
        <f t="shared" si="17"/>
        <v>0</v>
      </c>
      <c r="AE48" s="129">
        <f>219625-219625</f>
        <v>0</v>
      </c>
      <c r="AF48" s="133"/>
      <c r="AG48" s="133"/>
      <c r="AH48" s="129">
        <f t="shared" si="18"/>
        <v>0</v>
      </c>
      <c r="AI48" s="129">
        <f>70000+30000-25000</f>
        <v>75000</v>
      </c>
      <c r="AJ48" s="129"/>
      <c r="AK48" s="133">
        <v>47050</v>
      </c>
      <c r="AL48" s="129">
        <f t="shared" si="19"/>
        <v>27950</v>
      </c>
      <c r="AM48" s="129">
        <f>40000</f>
        <v>40000</v>
      </c>
      <c r="AN48" s="129"/>
      <c r="AO48" s="133"/>
      <c r="AP48" s="129">
        <f t="shared" si="20"/>
        <v>40000</v>
      </c>
      <c r="AQ48" s="129"/>
      <c r="AR48" s="129"/>
      <c r="AS48" s="129"/>
      <c r="AT48" s="129">
        <f t="shared" si="21"/>
        <v>0</v>
      </c>
      <c r="AU48" s="129"/>
      <c r="AV48" s="129"/>
      <c r="AW48" s="133"/>
      <c r="AX48" s="129">
        <f t="shared" si="22"/>
        <v>0</v>
      </c>
      <c r="AY48" s="129"/>
      <c r="AZ48" s="129"/>
      <c r="BA48" s="129"/>
      <c r="BB48" s="129">
        <f t="shared" si="23"/>
        <v>0</v>
      </c>
      <c r="BC48" s="135">
        <f t="shared" si="1"/>
        <v>4296890</v>
      </c>
      <c r="BD48" s="135">
        <f t="shared" si="5"/>
        <v>23250</v>
      </c>
      <c r="BE48" s="135">
        <f t="shared" si="6"/>
        <v>1116604.03</v>
      </c>
      <c r="BF48" s="135">
        <f t="shared" si="7"/>
        <v>3157035.9699999997</v>
      </c>
      <c r="BG48" s="129">
        <f t="shared" si="26"/>
        <v>25.986330345901337</v>
      </c>
      <c r="BH48" s="37">
        <v>2987</v>
      </c>
      <c r="BI48" s="37">
        <f t="shared" si="24"/>
        <v>1119591.03</v>
      </c>
    </row>
    <row r="49" spans="1:61" s="64" customFormat="1" x14ac:dyDescent="0.55000000000000004">
      <c r="A49" s="138">
        <v>43</v>
      </c>
      <c r="B49" s="128" t="s">
        <v>47</v>
      </c>
      <c r="C49" s="129">
        <f t="shared" si="8"/>
        <v>180000</v>
      </c>
      <c r="D49" s="129"/>
      <c r="E49" s="133">
        <v>117440</v>
      </c>
      <c r="F49" s="129">
        <f t="shared" si="9"/>
        <v>62560</v>
      </c>
      <c r="G49" s="129">
        <f>114000</f>
        <v>114000</v>
      </c>
      <c r="H49" s="133"/>
      <c r="I49" s="133">
        <v>76045</v>
      </c>
      <c r="J49" s="129">
        <f t="shared" si="10"/>
        <v>37955</v>
      </c>
      <c r="K49" s="129">
        <f t="shared" si="11"/>
        <v>340000</v>
      </c>
      <c r="L49" s="133"/>
      <c r="M49" s="133"/>
      <c r="N49" s="129">
        <f t="shared" si="12"/>
        <v>340000</v>
      </c>
      <c r="O49" s="129"/>
      <c r="P49" s="129"/>
      <c r="Q49" s="129"/>
      <c r="R49" s="129">
        <f t="shared" si="13"/>
        <v>0</v>
      </c>
      <c r="S49" s="129">
        <f t="shared" si="14"/>
        <v>950000</v>
      </c>
      <c r="T49" s="133">
        <v>360000</v>
      </c>
      <c r="U49" s="133">
        <v>549011.66</v>
      </c>
      <c r="V49" s="129">
        <f t="shared" si="15"/>
        <v>40988.339999999967</v>
      </c>
      <c r="W49" s="129">
        <f>1589000+878890</f>
        <v>2467890</v>
      </c>
      <c r="X49" s="133"/>
      <c r="Y49" s="133">
        <v>1588750</v>
      </c>
      <c r="Z49" s="129">
        <f t="shared" si="16"/>
        <v>879140</v>
      </c>
      <c r="AA49" s="129"/>
      <c r="AB49" s="129"/>
      <c r="AC49" s="129"/>
      <c r="AD49" s="129">
        <f t="shared" si="17"/>
        <v>0</v>
      </c>
      <c r="AE49" s="129">
        <f>189600-189600</f>
        <v>0</v>
      </c>
      <c r="AF49" s="133"/>
      <c r="AG49" s="133"/>
      <c r="AH49" s="129">
        <f t="shared" si="18"/>
        <v>0</v>
      </c>
      <c r="AI49" s="129">
        <f>70000+30000-25000</f>
        <v>75000</v>
      </c>
      <c r="AJ49" s="129"/>
      <c r="AK49" s="133">
        <v>46300</v>
      </c>
      <c r="AL49" s="129">
        <f t="shared" si="19"/>
        <v>28700</v>
      </c>
      <c r="AM49" s="129">
        <f>40000</f>
        <v>40000</v>
      </c>
      <c r="AN49" s="129"/>
      <c r="AO49" s="133">
        <v>36670</v>
      </c>
      <c r="AP49" s="129">
        <f t="shared" si="20"/>
        <v>3330</v>
      </c>
      <c r="AQ49" s="129"/>
      <c r="AR49" s="129"/>
      <c r="AS49" s="129"/>
      <c r="AT49" s="129">
        <f t="shared" si="21"/>
        <v>0</v>
      </c>
      <c r="AU49" s="129"/>
      <c r="AV49" s="129"/>
      <c r="AW49" s="133"/>
      <c r="AX49" s="129">
        <f t="shared" si="22"/>
        <v>0</v>
      </c>
      <c r="AY49" s="129"/>
      <c r="AZ49" s="129"/>
      <c r="BA49" s="129"/>
      <c r="BB49" s="129">
        <f t="shared" si="23"/>
        <v>0</v>
      </c>
      <c r="BC49" s="135">
        <f t="shared" si="1"/>
        <v>4166890</v>
      </c>
      <c r="BD49" s="135">
        <f t="shared" si="5"/>
        <v>360000</v>
      </c>
      <c r="BE49" s="135">
        <f t="shared" si="6"/>
        <v>2414216.66</v>
      </c>
      <c r="BF49" s="135">
        <f t="shared" si="7"/>
        <v>1392673.3399999999</v>
      </c>
      <c r="BG49" s="129">
        <f t="shared" si="26"/>
        <v>57.938094358142401</v>
      </c>
      <c r="BH49" s="37">
        <v>28756</v>
      </c>
      <c r="BI49" s="37">
        <f t="shared" si="24"/>
        <v>2442972.66</v>
      </c>
    </row>
    <row r="50" spans="1:61" s="64" customFormat="1" x14ac:dyDescent="0.55000000000000004">
      <c r="A50" s="138">
        <v>44</v>
      </c>
      <c r="B50" s="128" t="s">
        <v>48</v>
      </c>
      <c r="C50" s="129">
        <f t="shared" si="8"/>
        <v>180000</v>
      </c>
      <c r="D50" s="129"/>
      <c r="E50" s="133">
        <v>180000</v>
      </c>
      <c r="F50" s="129">
        <f t="shared" si="9"/>
        <v>0</v>
      </c>
      <c r="G50" s="129">
        <f>159000</f>
        <v>159000</v>
      </c>
      <c r="H50" s="133"/>
      <c r="I50" s="133">
        <v>136129.59</v>
      </c>
      <c r="J50" s="129">
        <f t="shared" si="10"/>
        <v>22870.410000000003</v>
      </c>
      <c r="K50" s="129">
        <f t="shared" si="11"/>
        <v>340000</v>
      </c>
      <c r="L50" s="133"/>
      <c r="M50" s="133"/>
      <c r="N50" s="129">
        <f t="shared" si="12"/>
        <v>340000</v>
      </c>
      <c r="O50" s="129">
        <f>200000+200000</f>
        <v>400000</v>
      </c>
      <c r="P50" s="129"/>
      <c r="Q50" s="129">
        <v>101494</v>
      </c>
      <c r="R50" s="129">
        <f t="shared" si="13"/>
        <v>298506</v>
      </c>
      <c r="S50" s="129">
        <f t="shared" si="14"/>
        <v>950000</v>
      </c>
      <c r="T50" s="133"/>
      <c r="U50" s="133">
        <v>509529</v>
      </c>
      <c r="V50" s="129">
        <f t="shared" si="15"/>
        <v>440471</v>
      </c>
      <c r="W50" s="129">
        <f>1649000+878890</f>
        <v>2527890</v>
      </c>
      <c r="X50" s="133">
        <v>329900</v>
      </c>
      <c r="Y50" s="133">
        <v>779000</v>
      </c>
      <c r="Z50" s="129">
        <f t="shared" si="16"/>
        <v>1418990</v>
      </c>
      <c r="AA50" s="129"/>
      <c r="AB50" s="129"/>
      <c r="AC50" s="129"/>
      <c r="AD50" s="129">
        <f t="shared" si="17"/>
        <v>0</v>
      </c>
      <c r="AE50" s="129">
        <f>220000-216000</f>
        <v>4000</v>
      </c>
      <c r="AF50" s="133"/>
      <c r="AG50" s="133">
        <v>4000</v>
      </c>
      <c r="AH50" s="129">
        <f t="shared" si="18"/>
        <v>0</v>
      </c>
      <c r="AI50" s="129">
        <f>70000+30000-32000</f>
        <v>68000</v>
      </c>
      <c r="AJ50" s="129"/>
      <c r="AK50" s="133">
        <v>24517.89</v>
      </c>
      <c r="AL50" s="129">
        <f t="shared" si="19"/>
        <v>43482.11</v>
      </c>
      <c r="AM50" s="129">
        <f>40000</f>
        <v>40000</v>
      </c>
      <c r="AN50" s="129"/>
      <c r="AO50" s="133">
        <v>40000</v>
      </c>
      <c r="AP50" s="129">
        <f t="shared" si="20"/>
        <v>0</v>
      </c>
      <c r="AQ50" s="129"/>
      <c r="AR50" s="129"/>
      <c r="AS50" s="129"/>
      <c r="AT50" s="129">
        <f t="shared" si="21"/>
        <v>0</v>
      </c>
      <c r="AU50" s="129"/>
      <c r="AV50" s="129"/>
      <c r="AW50" s="133"/>
      <c r="AX50" s="129">
        <f t="shared" si="22"/>
        <v>0</v>
      </c>
      <c r="AY50" s="129"/>
      <c r="AZ50" s="129"/>
      <c r="BA50" s="129"/>
      <c r="BB50" s="129">
        <f t="shared" si="23"/>
        <v>0</v>
      </c>
      <c r="BC50" s="135">
        <f t="shared" si="1"/>
        <v>4668890</v>
      </c>
      <c r="BD50" s="135">
        <f t="shared" si="5"/>
        <v>329900</v>
      </c>
      <c r="BE50" s="135">
        <f t="shared" si="6"/>
        <v>1774670.4799999997</v>
      </c>
      <c r="BF50" s="135">
        <f t="shared" si="7"/>
        <v>2564319.52</v>
      </c>
      <c r="BG50" s="129">
        <f t="shared" si="26"/>
        <v>38.010543833759193</v>
      </c>
      <c r="BH50" s="37">
        <v>12325</v>
      </c>
      <c r="BI50" s="37">
        <f t="shared" si="24"/>
        <v>1786995.4799999997</v>
      </c>
    </row>
    <row r="51" spans="1:61" s="64" customFormat="1" x14ac:dyDescent="0.55000000000000004">
      <c r="A51" s="138">
        <v>45</v>
      </c>
      <c r="B51" s="128" t="s">
        <v>49</v>
      </c>
      <c r="C51" s="129">
        <f t="shared" si="8"/>
        <v>180000</v>
      </c>
      <c r="D51" s="129"/>
      <c r="E51" s="133">
        <v>64100</v>
      </c>
      <c r="F51" s="129">
        <f t="shared" si="9"/>
        <v>115900</v>
      </c>
      <c r="G51" s="129">
        <f>104000</f>
        <v>104000</v>
      </c>
      <c r="H51" s="133"/>
      <c r="I51" s="133">
        <v>43054</v>
      </c>
      <c r="J51" s="129">
        <f t="shared" si="10"/>
        <v>60946</v>
      </c>
      <c r="K51" s="129">
        <f t="shared" si="11"/>
        <v>340000</v>
      </c>
      <c r="L51" s="133"/>
      <c r="M51" s="133"/>
      <c r="N51" s="129">
        <f t="shared" si="12"/>
        <v>340000</v>
      </c>
      <c r="O51" s="129"/>
      <c r="P51" s="129"/>
      <c r="Q51" s="129"/>
      <c r="R51" s="129">
        <f t="shared" si="13"/>
        <v>0</v>
      </c>
      <c r="S51" s="129">
        <f t="shared" si="14"/>
        <v>950000</v>
      </c>
      <c r="T51" s="133"/>
      <c r="U51" s="133">
        <v>497582</v>
      </c>
      <c r="V51" s="129">
        <f t="shared" si="15"/>
        <v>452418</v>
      </c>
      <c r="W51" s="129">
        <f>1649000+878890</f>
        <v>2527890</v>
      </c>
      <c r="X51" s="133"/>
      <c r="Y51" s="133">
        <v>1748202.2</v>
      </c>
      <c r="Z51" s="129">
        <f t="shared" si="16"/>
        <v>779687.8</v>
      </c>
      <c r="AA51" s="129"/>
      <c r="AB51" s="129"/>
      <c r="AC51" s="129"/>
      <c r="AD51" s="129">
        <f t="shared" si="17"/>
        <v>0</v>
      </c>
      <c r="AE51" s="129">
        <f>153400-153400</f>
        <v>0</v>
      </c>
      <c r="AF51" s="133"/>
      <c r="AG51" s="133"/>
      <c r="AH51" s="129">
        <f t="shared" si="18"/>
        <v>0</v>
      </c>
      <c r="AI51" s="129">
        <f>70000+30000-20000</f>
        <v>80000</v>
      </c>
      <c r="AJ51" s="129"/>
      <c r="AK51" s="133">
        <v>52720</v>
      </c>
      <c r="AL51" s="129">
        <f t="shared" si="19"/>
        <v>27280</v>
      </c>
      <c r="AM51" s="129">
        <f>40000</f>
        <v>40000</v>
      </c>
      <c r="AN51" s="129"/>
      <c r="AO51" s="133"/>
      <c r="AP51" s="129">
        <f t="shared" si="20"/>
        <v>40000</v>
      </c>
      <c r="AQ51" s="129"/>
      <c r="AR51" s="129"/>
      <c r="AS51" s="129"/>
      <c r="AT51" s="129">
        <f t="shared" si="21"/>
        <v>0</v>
      </c>
      <c r="AU51" s="129"/>
      <c r="AV51" s="129"/>
      <c r="AW51" s="133"/>
      <c r="AX51" s="129">
        <f t="shared" si="22"/>
        <v>0</v>
      </c>
      <c r="AY51" s="129"/>
      <c r="AZ51" s="129"/>
      <c r="BA51" s="129"/>
      <c r="BB51" s="129">
        <f t="shared" si="23"/>
        <v>0</v>
      </c>
      <c r="BC51" s="135">
        <f t="shared" si="1"/>
        <v>4221890</v>
      </c>
      <c r="BD51" s="135">
        <f t="shared" si="5"/>
        <v>0</v>
      </c>
      <c r="BE51" s="135">
        <f t="shared" si="6"/>
        <v>2405658.2000000002</v>
      </c>
      <c r="BF51" s="135">
        <f t="shared" si="7"/>
        <v>1816231.8</v>
      </c>
      <c r="BG51" s="129">
        <f t="shared" si="26"/>
        <v>56.98059873658481</v>
      </c>
      <c r="BH51" s="37">
        <v>12214</v>
      </c>
      <c r="BI51" s="37">
        <f t="shared" si="24"/>
        <v>2417872.2000000002</v>
      </c>
    </row>
    <row r="52" spans="1:61" s="64" customFormat="1" x14ac:dyDescent="0.55000000000000004">
      <c r="A52" s="138">
        <v>46</v>
      </c>
      <c r="B52" s="128" t="s">
        <v>50</v>
      </c>
      <c r="C52" s="129">
        <f t="shared" si="8"/>
        <v>180000</v>
      </c>
      <c r="D52" s="129"/>
      <c r="E52" s="133">
        <v>105700</v>
      </c>
      <c r="F52" s="129">
        <f t="shared" si="9"/>
        <v>74300</v>
      </c>
      <c r="G52" s="129">
        <f>144000</f>
        <v>144000</v>
      </c>
      <c r="H52" s="133"/>
      <c r="I52" s="133">
        <v>49950.400000000001</v>
      </c>
      <c r="J52" s="129">
        <f t="shared" si="10"/>
        <v>94049.600000000006</v>
      </c>
      <c r="K52" s="129">
        <f t="shared" si="11"/>
        <v>340000</v>
      </c>
      <c r="L52" s="133"/>
      <c r="M52" s="133"/>
      <c r="N52" s="129">
        <f t="shared" si="12"/>
        <v>340000</v>
      </c>
      <c r="O52" s="129"/>
      <c r="P52" s="129"/>
      <c r="Q52" s="129"/>
      <c r="R52" s="129">
        <f t="shared" si="13"/>
        <v>0</v>
      </c>
      <c r="S52" s="129">
        <f t="shared" si="14"/>
        <v>950000</v>
      </c>
      <c r="T52" s="133"/>
      <c r="U52" s="133">
        <v>569772.05000000005</v>
      </c>
      <c r="V52" s="129">
        <f t="shared" si="15"/>
        <v>380227.94999999995</v>
      </c>
      <c r="W52" s="129">
        <f>1649000+878890</f>
        <v>2527890</v>
      </c>
      <c r="X52" s="133"/>
      <c r="Y52" s="133">
        <v>1407166</v>
      </c>
      <c r="Z52" s="129">
        <f t="shared" si="16"/>
        <v>1120724</v>
      </c>
      <c r="AA52" s="129"/>
      <c r="AB52" s="129"/>
      <c r="AC52" s="129"/>
      <c r="AD52" s="129">
        <f t="shared" si="17"/>
        <v>0</v>
      </c>
      <c r="AE52" s="129">
        <f>220000-211175</f>
        <v>8825</v>
      </c>
      <c r="AF52" s="133"/>
      <c r="AG52" s="133">
        <v>8825</v>
      </c>
      <c r="AH52" s="129">
        <f t="shared" si="18"/>
        <v>0</v>
      </c>
      <c r="AI52" s="129">
        <f>70000+30000-25000</f>
        <v>75000</v>
      </c>
      <c r="AJ52" s="129"/>
      <c r="AK52" s="133">
        <v>49835</v>
      </c>
      <c r="AL52" s="129">
        <f t="shared" si="19"/>
        <v>25165</v>
      </c>
      <c r="AM52" s="129">
        <f>40000</f>
        <v>40000</v>
      </c>
      <c r="AN52" s="129"/>
      <c r="AO52" s="133">
        <v>40000</v>
      </c>
      <c r="AP52" s="129">
        <f t="shared" si="20"/>
        <v>0</v>
      </c>
      <c r="AQ52" s="129"/>
      <c r="AR52" s="129"/>
      <c r="AS52" s="129"/>
      <c r="AT52" s="129">
        <f t="shared" si="21"/>
        <v>0</v>
      </c>
      <c r="AU52" s="129"/>
      <c r="AV52" s="129"/>
      <c r="AW52" s="133"/>
      <c r="AX52" s="129">
        <f t="shared" si="22"/>
        <v>0</v>
      </c>
      <c r="AY52" s="129"/>
      <c r="AZ52" s="129"/>
      <c r="BA52" s="129"/>
      <c r="BB52" s="129">
        <f t="shared" si="23"/>
        <v>0</v>
      </c>
      <c r="BC52" s="135">
        <f t="shared" si="1"/>
        <v>4265715</v>
      </c>
      <c r="BD52" s="135">
        <f t="shared" si="5"/>
        <v>0</v>
      </c>
      <c r="BE52" s="135">
        <f t="shared" si="6"/>
        <v>2231248.4500000002</v>
      </c>
      <c r="BF52" s="135">
        <f t="shared" si="7"/>
        <v>2034466.5499999998</v>
      </c>
      <c r="BG52" s="129">
        <f t="shared" si="26"/>
        <v>52.306552359920914</v>
      </c>
      <c r="BH52" s="37">
        <v>35588</v>
      </c>
      <c r="BI52" s="37">
        <f t="shared" si="24"/>
        <v>2266836.4500000002</v>
      </c>
    </row>
    <row r="53" spans="1:61" s="64" customFormat="1" x14ac:dyDescent="0.55000000000000004">
      <c r="A53" s="138">
        <v>47</v>
      </c>
      <c r="B53" s="128" t="s">
        <v>51</v>
      </c>
      <c r="C53" s="129">
        <f t="shared" si="8"/>
        <v>180000</v>
      </c>
      <c r="D53" s="129"/>
      <c r="E53" s="133">
        <v>120000</v>
      </c>
      <c r="F53" s="129">
        <f t="shared" si="9"/>
        <v>60000</v>
      </c>
      <c r="G53" s="129">
        <f>109000</f>
        <v>109000</v>
      </c>
      <c r="H53" s="133"/>
      <c r="I53" s="133">
        <v>12146.95</v>
      </c>
      <c r="J53" s="129">
        <f t="shared" si="10"/>
        <v>96853.05</v>
      </c>
      <c r="K53" s="129">
        <f t="shared" si="11"/>
        <v>340000</v>
      </c>
      <c r="L53" s="133">
        <v>9000</v>
      </c>
      <c r="M53" s="133">
        <v>331000</v>
      </c>
      <c r="N53" s="129">
        <f t="shared" si="12"/>
        <v>0</v>
      </c>
      <c r="O53" s="129"/>
      <c r="P53" s="129"/>
      <c r="Q53" s="129"/>
      <c r="R53" s="129">
        <f t="shared" si="13"/>
        <v>0</v>
      </c>
      <c r="S53" s="129">
        <f t="shared" si="14"/>
        <v>950000</v>
      </c>
      <c r="T53" s="133"/>
      <c r="U53" s="133">
        <v>483167.56</v>
      </c>
      <c r="V53" s="129">
        <f t="shared" si="15"/>
        <v>466832.44</v>
      </c>
      <c r="W53" s="129">
        <f>1529000+878890+250000</f>
        <v>2657890</v>
      </c>
      <c r="X53" s="133"/>
      <c r="Y53" s="133">
        <v>1618360</v>
      </c>
      <c r="Z53" s="129">
        <f t="shared" si="16"/>
        <v>1039530</v>
      </c>
      <c r="AA53" s="129"/>
      <c r="AB53" s="129"/>
      <c r="AC53" s="129"/>
      <c r="AD53" s="129">
        <f t="shared" si="17"/>
        <v>0</v>
      </c>
      <c r="AE53" s="129">
        <f>190000-190000</f>
        <v>0</v>
      </c>
      <c r="AF53" s="133"/>
      <c r="AG53" s="133"/>
      <c r="AH53" s="129">
        <f t="shared" si="18"/>
        <v>0</v>
      </c>
      <c r="AI53" s="129">
        <f>70000+30000-21000</f>
        <v>79000</v>
      </c>
      <c r="AJ53" s="129"/>
      <c r="AK53" s="133">
        <v>53560</v>
      </c>
      <c r="AL53" s="129">
        <f t="shared" si="19"/>
        <v>25440</v>
      </c>
      <c r="AM53" s="129">
        <f>40000</f>
        <v>40000</v>
      </c>
      <c r="AN53" s="129"/>
      <c r="AO53" s="133"/>
      <c r="AP53" s="129">
        <f t="shared" si="20"/>
        <v>40000</v>
      </c>
      <c r="AQ53" s="129"/>
      <c r="AR53" s="129"/>
      <c r="AS53" s="129"/>
      <c r="AT53" s="129">
        <f t="shared" si="21"/>
        <v>0</v>
      </c>
      <c r="AU53" s="129"/>
      <c r="AV53" s="129"/>
      <c r="AW53" s="133"/>
      <c r="AX53" s="129">
        <f t="shared" si="22"/>
        <v>0</v>
      </c>
      <c r="AY53" s="129"/>
      <c r="AZ53" s="129"/>
      <c r="BA53" s="129"/>
      <c r="BB53" s="129">
        <f t="shared" si="23"/>
        <v>0</v>
      </c>
      <c r="BC53" s="135">
        <f t="shared" si="1"/>
        <v>4355890</v>
      </c>
      <c r="BD53" s="135">
        <f t="shared" si="5"/>
        <v>9000</v>
      </c>
      <c r="BE53" s="135">
        <f t="shared" si="6"/>
        <v>2618234.5099999998</v>
      </c>
      <c r="BF53" s="135">
        <f t="shared" si="7"/>
        <v>1728655.49</v>
      </c>
      <c r="BG53" s="129">
        <f t="shared" si="26"/>
        <v>60.10791158638073</v>
      </c>
      <c r="BH53" s="37">
        <v>9100</v>
      </c>
      <c r="BI53" s="37">
        <f t="shared" si="24"/>
        <v>2627334.5099999998</v>
      </c>
    </row>
    <row r="54" spans="1:61" s="64" customFormat="1" x14ac:dyDescent="0.55000000000000004">
      <c r="A54" s="138">
        <v>48</v>
      </c>
      <c r="B54" s="128" t="s">
        <v>52</v>
      </c>
      <c r="C54" s="129">
        <f t="shared" si="8"/>
        <v>180000</v>
      </c>
      <c r="D54" s="129"/>
      <c r="E54" s="133">
        <v>55520</v>
      </c>
      <c r="F54" s="129">
        <f t="shared" si="9"/>
        <v>124480</v>
      </c>
      <c r="G54" s="129">
        <f>124000</f>
        <v>124000</v>
      </c>
      <c r="H54" s="133"/>
      <c r="I54" s="133">
        <v>113774.14</v>
      </c>
      <c r="J54" s="129">
        <f t="shared" si="10"/>
        <v>10225.86</v>
      </c>
      <c r="K54" s="129">
        <f t="shared" si="11"/>
        <v>340000</v>
      </c>
      <c r="L54" s="133"/>
      <c r="M54" s="133"/>
      <c r="N54" s="129">
        <f t="shared" si="12"/>
        <v>340000</v>
      </c>
      <c r="O54" s="129"/>
      <c r="P54" s="129"/>
      <c r="Q54" s="129"/>
      <c r="R54" s="129">
        <f t="shared" si="13"/>
        <v>0</v>
      </c>
      <c r="S54" s="129">
        <f t="shared" si="14"/>
        <v>950000</v>
      </c>
      <c r="T54" s="133"/>
      <c r="U54" s="133">
        <v>499013.63</v>
      </c>
      <c r="V54" s="129">
        <f t="shared" si="15"/>
        <v>450986.37</v>
      </c>
      <c r="W54" s="129">
        <f>1649000+196000+878890</f>
        <v>2723890</v>
      </c>
      <c r="X54" s="133"/>
      <c r="Y54" s="133">
        <v>1457000</v>
      </c>
      <c r="Z54" s="129">
        <f t="shared" si="16"/>
        <v>1266890</v>
      </c>
      <c r="AA54" s="129"/>
      <c r="AB54" s="129"/>
      <c r="AC54" s="129"/>
      <c r="AD54" s="129">
        <f t="shared" si="17"/>
        <v>0</v>
      </c>
      <c r="AE54" s="129">
        <f>190000-190000</f>
        <v>0</v>
      </c>
      <c r="AF54" s="133"/>
      <c r="AG54" s="133"/>
      <c r="AH54" s="129">
        <f t="shared" si="18"/>
        <v>0</v>
      </c>
      <c r="AI54" s="129">
        <f>70000+30000-25000</f>
        <v>75000</v>
      </c>
      <c r="AJ54" s="129"/>
      <c r="AK54" s="133">
        <v>41272</v>
      </c>
      <c r="AL54" s="129">
        <f t="shared" si="19"/>
        <v>33728</v>
      </c>
      <c r="AM54" s="129">
        <f>40000</f>
        <v>40000</v>
      </c>
      <c r="AN54" s="129"/>
      <c r="AO54" s="133">
        <v>40000</v>
      </c>
      <c r="AP54" s="129">
        <f t="shared" si="20"/>
        <v>0</v>
      </c>
      <c r="AQ54" s="129"/>
      <c r="AR54" s="129"/>
      <c r="AS54" s="129"/>
      <c r="AT54" s="129">
        <f t="shared" si="21"/>
        <v>0</v>
      </c>
      <c r="AU54" s="129"/>
      <c r="AV54" s="129"/>
      <c r="AW54" s="133"/>
      <c r="AX54" s="129">
        <f t="shared" si="22"/>
        <v>0</v>
      </c>
      <c r="AY54" s="129"/>
      <c r="AZ54" s="129"/>
      <c r="BA54" s="129"/>
      <c r="BB54" s="129">
        <f t="shared" si="23"/>
        <v>0</v>
      </c>
      <c r="BC54" s="135">
        <f t="shared" si="1"/>
        <v>4432890</v>
      </c>
      <c r="BD54" s="135">
        <f t="shared" si="5"/>
        <v>0</v>
      </c>
      <c r="BE54" s="135">
        <f t="shared" si="6"/>
        <v>2206579.77</v>
      </c>
      <c r="BF54" s="135">
        <f t="shared" si="7"/>
        <v>2226310.23</v>
      </c>
      <c r="BG54" s="129">
        <f t="shared" si="26"/>
        <v>49.777453760413636</v>
      </c>
      <c r="BH54" s="37"/>
      <c r="BI54" s="37">
        <f t="shared" si="24"/>
        <v>2206579.77</v>
      </c>
    </row>
    <row r="55" spans="1:61" s="64" customFormat="1" x14ac:dyDescent="0.55000000000000004">
      <c r="A55" s="138">
        <v>49</v>
      </c>
      <c r="B55" s="128" t="s">
        <v>53</v>
      </c>
      <c r="C55" s="129">
        <f t="shared" si="8"/>
        <v>180000</v>
      </c>
      <c r="D55" s="129"/>
      <c r="E55" s="133">
        <v>180000</v>
      </c>
      <c r="F55" s="129">
        <f t="shared" si="9"/>
        <v>0</v>
      </c>
      <c r="G55" s="129">
        <f>114000</f>
        <v>114000</v>
      </c>
      <c r="H55" s="133"/>
      <c r="I55" s="133"/>
      <c r="J55" s="129">
        <f t="shared" si="10"/>
        <v>114000</v>
      </c>
      <c r="K55" s="129">
        <f t="shared" si="11"/>
        <v>340000</v>
      </c>
      <c r="L55" s="133"/>
      <c r="M55" s="133"/>
      <c r="N55" s="129">
        <f t="shared" si="12"/>
        <v>340000</v>
      </c>
      <c r="O55" s="129">
        <f>200000+200000</f>
        <v>400000</v>
      </c>
      <c r="P55" s="129"/>
      <c r="Q55" s="129">
        <v>29870</v>
      </c>
      <c r="R55" s="129">
        <f t="shared" si="13"/>
        <v>370130</v>
      </c>
      <c r="S55" s="129">
        <f t="shared" si="14"/>
        <v>950000</v>
      </c>
      <c r="T55" s="133"/>
      <c r="U55" s="133">
        <v>533059.28</v>
      </c>
      <c r="V55" s="129">
        <f t="shared" si="15"/>
        <v>416940.72</v>
      </c>
      <c r="W55" s="129">
        <f>1649000+878890</f>
        <v>2527890</v>
      </c>
      <c r="X55" s="133"/>
      <c r="Y55" s="133">
        <v>1949000</v>
      </c>
      <c r="Z55" s="129">
        <f t="shared" si="16"/>
        <v>578890</v>
      </c>
      <c r="AA55" s="129"/>
      <c r="AB55" s="129"/>
      <c r="AC55" s="129"/>
      <c r="AD55" s="129">
        <f t="shared" si="17"/>
        <v>0</v>
      </c>
      <c r="AE55" s="129">
        <f>190000-190000</f>
        <v>0</v>
      </c>
      <c r="AF55" s="133"/>
      <c r="AG55" s="133"/>
      <c r="AH55" s="129">
        <f t="shared" si="18"/>
        <v>0</v>
      </c>
      <c r="AI55" s="129">
        <f>70000+30000-25000</f>
        <v>75000</v>
      </c>
      <c r="AJ55" s="129"/>
      <c r="AK55" s="133">
        <v>58261</v>
      </c>
      <c r="AL55" s="129">
        <f t="shared" si="19"/>
        <v>16739</v>
      </c>
      <c r="AM55" s="129">
        <f>40000</f>
        <v>40000</v>
      </c>
      <c r="AN55" s="129"/>
      <c r="AO55" s="133"/>
      <c r="AP55" s="129">
        <f t="shared" si="20"/>
        <v>40000</v>
      </c>
      <c r="AQ55" s="129"/>
      <c r="AR55" s="129"/>
      <c r="AS55" s="129"/>
      <c r="AT55" s="129">
        <f t="shared" si="21"/>
        <v>0</v>
      </c>
      <c r="AU55" s="129"/>
      <c r="AV55" s="129"/>
      <c r="AW55" s="133"/>
      <c r="AX55" s="129">
        <f t="shared" si="22"/>
        <v>0</v>
      </c>
      <c r="AY55" s="129"/>
      <c r="AZ55" s="129"/>
      <c r="BA55" s="129"/>
      <c r="BB55" s="129">
        <f t="shared" si="23"/>
        <v>0</v>
      </c>
      <c r="BC55" s="135">
        <f t="shared" si="1"/>
        <v>4626890</v>
      </c>
      <c r="BD55" s="135">
        <f t="shared" si="5"/>
        <v>0</v>
      </c>
      <c r="BE55" s="135">
        <f t="shared" si="6"/>
        <v>2750190.2800000003</v>
      </c>
      <c r="BF55" s="135">
        <f t="shared" si="7"/>
        <v>1876699.72</v>
      </c>
      <c r="BG55" s="129">
        <f t="shared" si="26"/>
        <v>59.439283838604332</v>
      </c>
      <c r="BH55" s="37">
        <v>23476</v>
      </c>
      <c r="BI55" s="37">
        <f t="shared" si="24"/>
        <v>2773666.2800000003</v>
      </c>
    </row>
    <row r="56" spans="1:61" s="64" customFormat="1" x14ac:dyDescent="0.55000000000000004">
      <c r="A56" s="138">
        <v>50</v>
      </c>
      <c r="B56" s="128" t="s">
        <v>54</v>
      </c>
      <c r="C56" s="129">
        <f t="shared" si="8"/>
        <v>180000</v>
      </c>
      <c r="D56" s="129"/>
      <c r="E56" s="133">
        <v>55000</v>
      </c>
      <c r="F56" s="129">
        <f t="shared" si="9"/>
        <v>125000</v>
      </c>
      <c r="G56" s="129">
        <f>114000</f>
        <v>114000</v>
      </c>
      <c r="H56" s="133"/>
      <c r="I56" s="133">
        <v>114000</v>
      </c>
      <c r="J56" s="129">
        <f t="shared" si="10"/>
        <v>0</v>
      </c>
      <c r="K56" s="129">
        <f t="shared" si="11"/>
        <v>340000</v>
      </c>
      <c r="L56" s="133"/>
      <c r="M56" s="133"/>
      <c r="N56" s="129">
        <f t="shared" si="12"/>
        <v>340000</v>
      </c>
      <c r="O56" s="129"/>
      <c r="P56" s="129"/>
      <c r="Q56" s="129"/>
      <c r="R56" s="129">
        <f t="shared" si="13"/>
        <v>0</v>
      </c>
      <c r="S56" s="129">
        <f t="shared" si="14"/>
        <v>950000</v>
      </c>
      <c r="T56" s="133">
        <v>18000</v>
      </c>
      <c r="U56" s="133">
        <v>542106.18000000005</v>
      </c>
      <c r="V56" s="129">
        <f t="shared" si="15"/>
        <v>389893.81999999995</v>
      </c>
      <c r="W56" s="129">
        <f>1589000+878890</f>
        <v>2467890</v>
      </c>
      <c r="X56" s="133">
        <v>402000</v>
      </c>
      <c r="Y56" s="133">
        <v>1588000</v>
      </c>
      <c r="Z56" s="129">
        <f t="shared" si="16"/>
        <v>477890</v>
      </c>
      <c r="AA56" s="129"/>
      <c r="AB56" s="129"/>
      <c r="AC56" s="129"/>
      <c r="AD56" s="129">
        <f t="shared" si="17"/>
        <v>0</v>
      </c>
      <c r="AE56" s="129">
        <f>190000-190000</f>
        <v>0</v>
      </c>
      <c r="AF56" s="133"/>
      <c r="AG56" s="133"/>
      <c r="AH56" s="129">
        <f t="shared" si="18"/>
        <v>0</v>
      </c>
      <c r="AI56" s="129">
        <f>70000+30000-25000</f>
        <v>75000</v>
      </c>
      <c r="AJ56" s="129"/>
      <c r="AK56" s="133">
        <v>42100</v>
      </c>
      <c r="AL56" s="129">
        <f t="shared" si="19"/>
        <v>32900</v>
      </c>
      <c r="AM56" s="129">
        <f>40000</f>
        <v>40000</v>
      </c>
      <c r="AN56" s="129"/>
      <c r="AO56" s="133"/>
      <c r="AP56" s="129">
        <f t="shared" si="20"/>
        <v>40000</v>
      </c>
      <c r="AQ56" s="129"/>
      <c r="AR56" s="129"/>
      <c r="AS56" s="129"/>
      <c r="AT56" s="129">
        <f t="shared" si="21"/>
        <v>0</v>
      </c>
      <c r="AU56" s="129"/>
      <c r="AV56" s="129"/>
      <c r="AW56" s="133"/>
      <c r="AX56" s="129">
        <f t="shared" si="22"/>
        <v>0</v>
      </c>
      <c r="AY56" s="129"/>
      <c r="AZ56" s="129"/>
      <c r="BA56" s="129"/>
      <c r="BB56" s="129">
        <f t="shared" si="23"/>
        <v>0</v>
      </c>
      <c r="BC56" s="135">
        <f t="shared" si="1"/>
        <v>4166890</v>
      </c>
      <c r="BD56" s="135">
        <f t="shared" si="5"/>
        <v>420000</v>
      </c>
      <c r="BE56" s="135">
        <f t="shared" si="6"/>
        <v>2341206.1800000002</v>
      </c>
      <c r="BF56" s="135">
        <f t="shared" si="7"/>
        <v>1405683.8199999998</v>
      </c>
      <c r="BG56" s="129">
        <f t="shared" si="26"/>
        <v>56.185936753790003</v>
      </c>
      <c r="BH56" s="37">
        <v>4048</v>
      </c>
      <c r="BI56" s="37">
        <f t="shared" si="24"/>
        <v>2345254.1800000002</v>
      </c>
    </row>
    <row r="57" spans="1:61" s="64" customFormat="1" x14ac:dyDescent="0.55000000000000004">
      <c r="A57" s="138">
        <v>51</v>
      </c>
      <c r="B57" s="128" t="s">
        <v>55</v>
      </c>
      <c r="C57" s="129">
        <f t="shared" si="8"/>
        <v>180000</v>
      </c>
      <c r="D57" s="129"/>
      <c r="E57" s="133">
        <v>96082</v>
      </c>
      <c r="F57" s="129">
        <f t="shared" si="9"/>
        <v>83918</v>
      </c>
      <c r="G57" s="129">
        <f>115700</f>
        <v>115700</v>
      </c>
      <c r="H57" s="133"/>
      <c r="I57" s="133">
        <v>51425.55</v>
      </c>
      <c r="J57" s="129">
        <f t="shared" si="10"/>
        <v>64274.45</v>
      </c>
      <c r="K57" s="129">
        <f t="shared" si="11"/>
        <v>340000</v>
      </c>
      <c r="L57" s="133"/>
      <c r="M57" s="133">
        <v>322400</v>
      </c>
      <c r="N57" s="129">
        <f t="shared" si="12"/>
        <v>17600</v>
      </c>
      <c r="O57" s="129"/>
      <c r="P57" s="129"/>
      <c r="Q57" s="129"/>
      <c r="R57" s="129">
        <f t="shared" si="13"/>
        <v>0</v>
      </c>
      <c r="S57" s="129">
        <f t="shared" si="14"/>
        <v>950000</v>
      </c>
      <c r="T57" s="133"/>
      <c r="U57" s="133">
        <v>412310.65</v>
      </c>
      <c r="V57" s="129">
        <f t="shared" si="15"/>
        <v>537689.35</v>
      </c>
      <c r="W57" s="129">
        <f>1589000+878890</f>
        <v>2467890</v>
      </c>
      <c r="X57" s="133">
        <v>1418783</v>
      </c>
      <c r="Y57" s="133"/>
      <c r="Z57" s="129">
        <f t="shared" si="16"/>
        <v>1049107</v>
      </c>
      <c r="AA57" s="129"/>
      <c r="AB57" s="129"/>
      <c r="AC57" s="129"/>
      <c r="AD57" s="129">
        <f t="shared" si="17"/>
        <v>0</v>
      </c>
      <c r="AE57" s="129">
        <f>203200-177500</f>
        <v>25700</v>
      </c>
      <c r="AF57" s="133"/>
      <c r="AG57" s="133">
        <v>25700</v>
      </c>
      <c r="AH57" s="129">
        <f t="shared" si="18"/>
        <v>0</v>
      </c>
      <c r="AI57" s="129">
        <f>70000+30000-10000</f>
        <v>90000</v>
      </c>
      <c r="AJ57" s="129"/>
      <c r="AK57" s="133">
        <v>61904</v>
      </c>
      <c r="AL57" s="129">
        <f t="shared" si="19"/>
        <v>28096</v>
      </c>
      <c r="AM57" s="129">
        <f>40000</f>
        <v>40000</v>
      </c>
      <c r="AN57" s="129"/>
      <c r="AO57" s="133"/>
      <c r="AP57" s="129">
        <f t="shared" si="20"/>
        <v>40000</v>
      </c>
      <c r="AQ57" s="129"/>
      <c r="AR57" s="129"/>
      <c r="AS57" s="129"/>
      <c r="AT57" s="129">
        <f t="shared" si="21"/>
        <v>0</v>
      </c>
      <c r="AU57" s="129"/>
      <c r="AV57" s="129"/>
      <c r="AW57" s="133"/>
      <c r="AX57" s="129">
        <f t="shared" si="22"/>
        <v>0</v>
      </c>
      <c r="AY57" s="129"/>
      <c r="AZ57" s="129"/>
      <c r="BA57" s="129"/>
      <c r="BB57" s="129">
        <f t="shared" si="23"/>
        <v>0</v>
      </c>
      <c r="BC57" s="135">
        <f t="shared" si="1"/>
        <v>4209290</v>
      </c>
      <c r="BD57" s="135">
        <f t="shared" si="5"/>
        <v>1418783</v>
      </c>
      <c r="BE57" s="135">
        <f t="shared" si="6"/>
        <v>969822.2</v>
      </c>
      <c r="BF57" s="135">
        <f t="shared" si="7"/>
        <v>1820684.8</v>
      </c>
      <c r="BG57" s="129">
        <f t="shared" si="26"/>
        <v>23.040042382444547</v>
      </c>
      <c r="BH57" s="37">
        <v>6446</v>
      </c>
      <c r="BI57" s="37">
        <f t="shared" si="24"/>
        <v>976268.2</v>
      </c>
    </row>
    <row r="58" spans="1:61" s="64" customFormat="1" x14ac:dyDescent="0.55000000000000004">
      <c r="A58" s="138">
        <v>52</v>
      </c>
      <c r="B58" s="128" t="s">
        <v>56</v>
      </c>
      <c r="C58" s="129">
        <f t="shared" si="8"/>
        <v>180000</v>
      </c>
      <c r="D58" s="129"/>
      <c r="E58" s="133">
        <v>180000</v>
      </c>
      <c r="F58" s="129">
        <f t="shared" si="9"/>
        <v>0</v>
      </c>
      <c r="G58" s="129">
        <f>129000</f>
        <v>129000</v>
      </c>
      <c r="H58" s="133"/>
      <c r="I58" s="133">
        <v>59018.63</v>
      </c>
      <c r="J58" s="129">
        <f t="shared" si="10"/>
        <v>69981.37</v>
      </c>
      <c r="K58" s="129">
        <f t="shared" si="11"/>
        <v>340000</v>
      </c>
      <c r="L58" s="133"/>
      <c r="M58" s="133">
        <v>340000</v>
      </c>
      <c r="N58" s="129">
        <f t="shared" si="12"/>
        <v>0</v>
      </c>
      <c r="O58" s="129"/>
      <c r="P58" s="129"/>
      <c r="Q58" s="129"/>
      <c r="R58" s="129">
        <f t="shared" si="13"/>
        <v>0</v>
      </c>
      <c r="S58" s="129">
        <f t="shared" si="14"/>
        <v>950000</v>
      </c>
      <c r="T58" s="133"/>
      <c r="U58" s="133">
        <v>450921.79</v>
      </c>
      <c r="V58" s="129">
        <f t="shared" si="15"/>
        <v>499078.21</v>
      </c>
      <c r="W58" s="129">
        <f>1589000+878890</f>
        <v>2467890</v>
      </c>
      <c r="X58" s="133">
        <v>1084000</v>
      </c>
      <c r="Y58" s="133">
        <v>486000</v>
      </c>
      <c r="Z58" s="129">
        <f t="shared" si="16"/>
        <v>897890</v>
      </c>
      <c r="AA58" s="129"/>
      <c r="AB58" s="129"/>
      <c r="AC58" s="129"/>
      <c r="AD58" s="129">
        <f t="shared" si="17"/>
        <v>0</v>
      </c>
      <c r="AE58" s="129">
        <f>220000-220000</f>
        <v>0</v>
      </c>
      <c r="AF58" s="133"/>
      <c r="AG58" s="133"/>
      <c r="AH58" s="129">
        <f t="shared" si="18"/>
        <v>0</v>
      </c>
      <c r="AI58" s="129">
        <f>70000+30000-30000</f>
        <v>70000</v>
      </c>
      <c r="AJ58" s="129"/>
      <c r="AK58" s="133">
        <v>37500</v>
      </c>
      <c r="AL58" s="129">
        <f t="shared" si="19"/>
        <v>32500</v>
      </c>
      <c r="AM58" s="129">
        <f>40000</f>
        <v>40000</v>
      </c>
      <c r="AN58" s="129"/>
      <c r="AO58" s="133">
        <v>40000</v>
      </c>
      <c r="AP58" s="129">
        <f t="shared" si="20"/>
        <v>0</v>
      </c>
      <c r="AQ58" s="129"/>
      <c r="AR58" s="129"/>
      <c r="AS58" s="129"/>
      <c r="AT58" s="129">
        <f t="shared" si="21"/>
        <v>0</v>
      </c>
      <c r="AU58" s="129"/>
      <c r="AV58" s="129"/>
      <c r="AW58" s="133"/>
      <c r="AX58" s="129">
        <f t="shared" si="22"/>
        <v>0</v>
      </c>
      <c r="AY58" s="129"/>
      <c r="AZ58" s="129"/>
      <c r="BA58" s="129"/>
      <c r="BB58" s="129">
        <f t="shared" si="23"/>
        <v>0</v>
      </c>
      <c r="BC58" s="135">
        <f t="shared" si="1"/>
        <v>4176890</v>
      </c>
      <c r="BD58" s="135">
        <f t="shared" si="5"/>
        <v>1084000</v>
      </c>
      <c r="BE58" s="135">
        <f t="shared" si="6"/>
        <v>1593440.42</v>
      </c>
      <c r="BF58" s="135">
        <f t="shared" si="7"/>
        <v>1499449.58</v>
      </c>
      <c r="BG58" s="129">
        <f t="shared" si="26"/>
        <v>38.148967772672968</v>
      </c>
      <c r="BH58" s="37">
        <v>700</v>
      </c>
      <c r="BI58" s="37">
        <f t="shared" si="24"/>
        <v>1594140.42</v>
      </c>
    </row>
    <row r="59" spans="1:61" s="64" customFormat="1" x14ac:dyDescent="0.55000000000000004">
      <c r="A59" s="138">
        <v>53</v>
      </c>
      <c r="B59" s="128" t="s">
        <v>57</v>
      </c>
      <c r="C59" s="129">
        <f t="shared" si="8"/>
        <v>180000</v>
      </c>
      <c r="D59" s="129"/>
      <c r="E59" s="133">
        <v>89797</v>
      </c>
      <c r="F59" s="129">
        <f t="shared" si="9"/>
        <v>90203</v>
      </c>
      <c r="G59" s="129">
        <f>124000</f>
        <v>124000</v>
      </c>
      <c r="H59" s="133"/>
      <c r="I59" s="133">
        <v>94660</v>
      </c>
      <c r="J59" s="129">
        <f t="shared" si="10"/>
        <v>29340</v>
      </c>
      <c r="K59" s="129">
        <f t="shared" si="11"/>
        <v>340000</v>
      </c>
      <c r="L59" s="133"/>
      <c r="M59" s="133">
        <v>309400</v>
      </c>
      <c r="N59" s="129">
        <f t="shared" si="12"/>
        <v>30600</v>
      </c>
      <c r="O59" s="129"/>
      <c r="P59" s="129"/>
      <c r="Q59" s="129"/>
      <c r="R59" s="129">
        <f t="shared" si="13"/>
        <v>0</v>
      </c>
      <c r="S59" s="129">
        <f t="shared" si="14"/>
        <v>950000</v>
      </c>
      <c r="T59" s="133"/>
      <c r="U59" s="133">
        <v>507721.23</v>
      </c>
      <c r="V59" s="129">
        <f t="shared" si="15"/>
        <v>442278.77</v>
      </c>
      <c r="W59" s="129">
        <f>1649000+474000+878890</f>
        <v>3001890</v>
      </c>
      <c r="X59" s="133"/>
      <c r="Y59" s="133">
        <v>1966000</v>
      </c>
      <c r="Z59" s="129">
        <f t="shared" si="16"/>
        <v>1035890</v>
      </c>
      <c r="AA59" s="129"/>
      <c r="AB59" s="129"/>
      <c r="AC59" s="129"/>
      <c r="AD59" s="129">
        <f t="shared" si="17"/>
        <v>0</v>
      </c>
      <c r="AE59" s="129">
        <f>220000-220000</f>
        <v>0</v>
      </c>
      <c r="AF59" s="133"/>
      <c r="AG59" s="133"/>
      <c r="AH59" s="129">
        <f t="shared" si="18"/>
        <v>0</v>
      </c>
      <c r="AI59" s="129">
        <f>70000+30000-25000</f>
        <v>75000</v>
      </c>
      <c r="AJ59" s="129"/>
      <c r="AK59" s="133">
        <v>41785</v>
      </c>
      <c r="AL59" s="129">
        <f t="shared" si="19"/>
        <v>33215</v>
      </c>
      <c r="AM59" s="129">
        <f>40000</f>
        <v>40000</v>
      </c>
      <c r="AN59" s="129"/>
      <c r="AO59" s="133">
        <v>40000</v>
      </c>
      <c r="AP59" s="129">
        <f t="shared" si="20"/>
        <v>0</v>
      </c>
      <c r="AQ59" s="129"/>
      <c r="AR59" s="129"/>
      <c r="AS59" s="129"/>
      <c r="AT59" s="129">
        <f t="shared" si="21"/>
        <v>0</v>
      </c>
      <c r="AU59" s="129"/>
      <c r="AV59" s="129"/>
      <c r="AW59" s="133"/>
      <c r="AX59" s="129">
        <f t="shared" si="22"/>
        <v>0</v>
      </c>
      <c r="AY59" s="129"/>
      <c r="AZ59" s="129"/>
      <c r="BA59" s="129"/>
      <c r="BB59" s="129">
        <f t="shared" si="23"/>
        <v>0</v>
      </c>
      <c r="BC59" s="135">
        <f t="shared" si="1"/>
        <v>4710890</v>
      </c>
      <c r="BD59" s="135">
        <f t="shared" si="5"/>
        <v>0</v>
      </c>
      <c r="BE59" s="135">
        <f t="shared" si="6"/>
        <v>3049363.23</v>
      </c>
      <c r="BF59" s="135">
        <f t="shared" si="7"/>
        <v>1661526.77</v>
      </c>
      <c r="BG59" s="129">
        <f t="shared" si="26"/>
        <v>64.730087732891235</v>
      </c>
      <c r="BH59" s="37">
        <v>7295</v>
      </c>
      <c r="BI59" s="37">
        <f t="shared" si="24"/>
        <v>3056658.23</v>
      </c>
    </row>
    <row r="60" spans="1:61" s="64" customFormat="1" x14ac:dyDescent="0.55000000000000004">
      <c r="A60" s="138">
        <v>54</v>
      </c>
      <c r="B60" s="128" t="s">
        <v>58</v>
      </c>
      <c r="C60" s="129">
        <f t="shared" si="8"/>
        <v>180000</v>
      </c>
      <c r="D60" s="129"/>
      <c r="E60" s="133">
        <v>70230</v>
      </c>
      <c r="F60" s="129">
        <f t="shared" si="9"/>
        <v>109770</v>
      </c>
      <c r="G60" s="129">
        <f>119000</f>
        <v>119000</v>
      </c>
      <c r="H60" s="133"/>
      <c r="I60" s="133">
        <v>88994.96</v>
      </c>
      <c r="J60" s="129">
        <f t="shared" si="10"/>
        <v>30005.039999999994</v>
      </c>
      <c r="K60" s="129">
        <f t="shared" si="11"/>
        <v>340000</v>
      </c>
      <c r="L60" s="133"/>
      <c r="M60" s="133"/>
      <c r="N60" s="129">
        <f t="shared" si="12"/>
        <v>340000</v>
      </c>
      <c r="O60" s="129"/>
      <c r="P60" s="129"/>
      <c r="Q60" s="129"/>
      <c r="R60" s="129">
        <f t="shared" si="13"/>
        <v>0</v>
      </c>
      <c r="S60" s="129">
        <f t="shared" si="14"/>
        <v>950000</v>
      </c>
      <c r="T60" s="133"/>
      <c r="U60" s="133">
        <v>475037.61</v>
      </c>
      <c r="V60" s="129">
        <f t="shared" si="15"/>
        <v>474962.39</v>
      </c>
      <c r="W60" s="129">
        <f>1589000+878890+447000</f>
        <v>2914890</v>
      </c>
      <c r="X60" s="133"/>
      <c r="Y60" s="133">
        <v>1560800</v>
      </c>
      <c r="Z60" s="129">
        <f t="shared" si="16"/>
        <v>1354090</v>
      </c>
      <c r="AA60" s="129"/>
      <c r="AB60" s="129"/>
      <c r="AC60" s="129"/>
      <c r="AD60" s="129">
        <f t="shared" si="17"/>
        <v>0</v>
      </c>
      <c r="AE60" s="129">
        <f>220000-220000</f>
        <v>0</v>
      </c>
      <c r="AF60" s="133"/>
      <c r="AG60" s="133"/>
      <c r="AH60" s="129">
        <f t="shared" si="18"/>
        <v>0</v>
      </c>
      <c r="AI60" s="129">
        <f>70000+30000-20000</f>
        <v>80000</v>
      </c>
      <c r="AJ60" s="129"/>
      <c r="AK60" s="133">
        <v>57020</v>
      </c>
      <c r="AL60" s="129">
        <f t="shared" si="19"/>
        <v>22980</v>
      </c>
      <c r="AM60" s="129">
        <f>40000</f>
        <v>40000</v>
      </c>
      <c r="AN60" s="129"/>
      <c r="AO60" s="133">
        <v>40000</v>
      </c>
      <c r="AP60" s="129">
        <f t="shared" si="20"/>
        <v>0</v>
      </c>
      <c r="AQ60" s="129"/>
      <c r="AR60" s="129"/>
      <c r="AS60" s="129"/>
      <c r="AT60" s="129">
        <f t="shared" si="21"/>
        <v>0</v>
      </c>
      <c r="AU60" s="129"/>
      <c r="AV60" s="129"/>
      <c r="AW60" s="133"/>
      <c r="AX60" s="129">
        <f t="shared" si="22"/>
        <v>0</v>
      </c>
      <c r="AY60" s="129"/>
      <c r="AZ60" s="129"/>
      <c r="BA60" s="129"/>
      <c r="BB60" s="129">
        <f t="shared" si="23"/>
        <v>0</v>
      </c>
      <c r="BC60" s="135">
        <f t="shared" si="1"/>
        <v>4623890</v>
      </c>
      <c r="BD60" s="135">
        <f t="shared" si="5"/>
        <v>0</v>
      </c>
      <c r="BE60" s="135">
        <f t="shared" si="6"/>
        <v>2292082.5700000003</v>
      </c>
      <c r="BF60" s="135">
        <f t="shared" si="7"/>
        <v>2331807.4299999997</v>
      </c>
      <c r="BG60" s="129">
        <f t="shared" si="26"/>
        <v>49.570438959404321</v>
      </c>
      <c r="BH60" s="37"/>
      <c r="BI60" s="37">
        <f t="shared" si="24"/>
        <v>2292082.5700000003</v>
      </c>
    </row>
    <row r="61" spans="1:61" s="64" customFormat="1" x14ac:dyDescent="0.55000000000000004">
      <c r="A61" s="138">
        <v>55</v>
      </c>
      <c r="B61" s="128" t="s">
        <v>59</v>
      </c>
      <c r="C61" s="129">
        <f t="shared" si="8"/>
        <v>180000</v>
      </c>
      <c r="D61" s="129"/>
      <c r="E61" s="133">
        <v>20000</v>
      </c>
      <c r="F61" s="129">
        <f t="shared" si="9"/>
        <v>160000</v>
      </c>
      <c r="G61" s="129">
        <f>134000</f>
        <v>134000</v>
      </c>
      <c r="H61" s="133"/>
      <c r="I61" s="133"/>
      <c r="J61" s="129">
        <f t="shared" si="10"/>
        <v>134000</v>
      </c>
      <c r="K61" s="129">
        <f t="shared" si="11"/>
        <v>340000</v>
      </c>
      <c r="L61" s="133"/>
      <c r="M61" s="133"/>
      <c r="N61" s="129">
        <f t="shared" si="12"/>
        <v>340000</v>
      </c>
      <c r="O61" s="129">
        <f>200000+200000</f>
        <v>400000</v>
      </c>
      <c r="P61" s="129"/>
      <c r="Q61" s="129">
        <v>171700</v>
      </c>
      <c r="R61" s="129">
        <f t="shared" si="13"/>
        <v>228300</v>
      </c>
      <c r="S61" s="129">
        <f t="shared" si="14"/>
        <v>950000</v>
      </c>
      <c r="T61" s="133"/>
      <c r="U61" s="133">
        <v>516365.2</v>
      </c>
      <c r="V61" s="129">
        <f t="shared" si="15"/>
        <v>433634.8</v>
      </c>
      <c r="W61" s="129">
        <f>1649000+878890+500000</f>
        <v>3027890</v>
      </c>
      <c r="X61" s="133"/>
      <c r="Y61" s="133">
        <v>503306.7</v>
      </c>
      <c r="Z61" s="129">
        <f t="shared" si="16"/>
        <v>2524583.2999999998</v>
      </c>
      <c r="AA61" s="129"/>
      <c r="AB61" s="129"/>
      <c r="AC61" s="129"/>
      <c r="AD61" s="129">
        <f t="shared" si="17"/>
        <v>0</v>
      </c>
      <c r="AE61" s="129">
        <f>168200-107636</f>
        <v>60564</v>
      </c>
      <c r="AF61" s="133"/>
      <c r="AG61" s="133">
        <v>60564</v>
      </c>
      <c r="AH61" s="129">
        <f t="shared" si="18"/>
        <v>0</v>
      </c>
      <c r="AI61" s="129">
        <f>70000+30000-20000</f>
        <v>80000</v>
      </c>
      <c r="AJ61" s="129"/>
      <c r="AK61" s="133">
        <v>50726</v>
      </c>
      <c r="AL61" s="129">
        <f t="shared" si="19"/>
        <v>29274</v>
      </c>
      <c r="AM61" s="129">
        <f>40000</f>
        <v>40000</v>
      </c>
      <c r="AN61" s="129"/>
      <c r="AO61" s="133"/>
      <c r="AP61" s="129">
        <f t="shared" si="20"/>
        <v>40000</v>
      </c>
      <c r="AQ61" s="129"/>
      <c r="AR61" s="129"/>
      <c r="AS61" s="129"/>
      <c r="AT61" s="129">
        <f t="shared" si="21"/>
        <v>0</v>
      </c>
      <c r="AU61" s="129"/>
      <c r="AV61" s="129"/>
      <c r="AW61" s="133"/>
      <c r="AX61" s="129">
        <f t="shared" si="22"/>
        <v>0</v>
      </c>
      <c r="AY61" s="129"/>
      <c r="AZ61" s="129"/>
      <c r="BA61" s="129"/>
      <c r="BB61" s="129">
        <f t="shared" si="23"/>
        <v>0</v>
      </c>
      <c r="BC61" s="135">
        <f t="shared" si="1"/>
        <v>5212454</v>
      </c>
      <c r="BD61" s="135">
        <f t="shared" si="5"/>
        <v>0</v>
      </c>
      <c r="BE61" s="135">
        <f t="shared" si="6"/>
        <v>1322661.8999999999</v>
      </c>
      <c r="BF61" s="135">
        <f t="shared" si="7"/>
        <v>3889792.0999999996</v>
      </c>
      <c r="BG61" s="129">
        <f t="shared" si="26"/>
        <v>25.375032566234633</v>
      </c>
      <c r="BH61" s="37">
        <v>9896</v>
      </c>
      <c r="BI61" s="37">
        <f t="shared" si="24"/>
        <v>1332557.8999999999</v>
      </c>
    </row>
    <row r="62" spans="1:61" s="64" customFormat="1" x14ac:dyDescent="0.55000000000000004">
      <c r="A62" s="138">
        <v>56</v>
      </c>
      <c r="B62" s="128" t="s">
        <v>60</v>
      </c>
      <c r="C62" s="129">
        <f t="shared" si="8"/>
        <v>180000</v>
      </c>
      <c r="D62" s="129"/>
      <c r="E62" s="133">
        <v>100000</v>
      </c>
      <c r="F62" s="129">
        <f t="shared" si="9"/>
        <v>80000</v>
      </c>
      <c r="G62" s="129">
        <f>119000</f>
        <v>119000</v>
      </c>
      <c r="H62" s="133"/>
      <c r="I62" s="133">
        <v>100484.75</v>
      </c>
      <c r="J62" s="129">
        <f t="shared" si="10"/>
        <v>18515.25</v>
      </c>
      <c r="K62" s="129">
        <f t="shared" si="11"/>
        <v>340000</v>
      </c>
      <c r="L62" s="133"/>
      <c r="M62" s="133">
        <v>266500</v>
      </c>
      <c r="N62" s="129">
        <f t="shared" si="12"/>
        <v>73500</v>
      </c>
      <c r="O62" s="129"/>
      <c r="P62" s="129"/>
      <c r="Q62" s="129"/>
      <c r="R62" s="129">
        <f t="shared" si="13"/>
        <v>0</v>
      </c>
      <c r="S62" s="129">
        <f t="shared" si="14"/>
        <v>950000</v>
      </c>
      <c r="T62" s="133"/>
      <c r="U62" s="133">
        <v>510257.04</v>
      </c>
      <c r="V62" s="129">
        <f t="shared" si="15"/>
        <v>439742.96</v>
      </c>
      <c r="W62" s="129">
        <f>1589000+878890</f>
        <v>2467890</v>
      </c>
      <c r="X62" s="133">
        <v>498000</v>
      </c>
      <c r="Y62" s="133">
        <v>952689</v>
      </c>
      <c r="Z62" s="129">
        <f t="shared" si="16"/>
        <v>1017201</v>
      </c>
      <c r="AA62" s="129"/>
      <c r="AB62" s="129"/>
      <c r="AC62" s="129"/>
      <c r="AD62" s="129">
        <f t="shared" si="17"/>
        <v>0</v>
      </c>
      <c r="AE62" s="129">
        <f>220000-220000</f>
        <v>0</v>
      </c>
      <c r="AF62" s="133"/>
      <c r="AG62" s="133"/>
      <c r="AH62" s="129">
        <f t="shared" si="18"/>
        <v>0</v>
      </c>
      <c r="AI62" s="129">
        <f>70000+30000-25000</f>
        <v>75000</v>
      </c>
      <c r="AJ62" s="129"/>
      <c r="AK62" s="133">
        <v>42384</v>
      </c>
      <c r="AL62" s="129">
        <f t="shared" si="19"/>
        <v>32616</v>
      </c>
      <c r="AM62" s="129">
        <f>40000</f>
        <v>40000</v>
      </c>
      <c r="AN62" s="129"/>
      <c r="AO62" s="133"/>
      <c r="AP62" s="129">
        <f t="shared" si="20"/>
        <v>40000</v>
      </c>
      <c r="AQ62" s="129"/>
      <c r="AR62" s="129"/>
      <c r="AS62" s="129"/>
      <c r="AT62" s="129">
        <f t="shared" si="21"/>
        <v>0</v>
      </c>
      <c r="AU62" s="129"/>
      <c r="AV62" s="129"/>
      <c r="AW62" s="133"/>
      <c r="AX62" s="129">
        <f t="shared" si="22"/>
        <v>0</v>
      </c>
      <c r="AY62" s="129"/>
      <c r="AZ62" s="129"/>
      <c r="BA62" s="129"/>
      <c r="BB62" s="129">
        <f t="shared" si="23"/>
        <v>0</v>
      </c>
      <c r="BC62" s="135">
        <f t="shared" si="1"/>
        <v>4171890</v>
      </c>
      <c r="BD62" s="135">
        <f t="shared" si="5"/>
        <v>498000</v>
      </c>
      <c r="BE62" s="135">
        <f t="shared" si="6"/>
        <v>1972314.79</v>
      </c>
      <c r="BF62" s="135">
        <f t="shared" si="7"/>
        <v>1701575.21</v>
      </c>
      <c r="BG62" s="129">
        <f t="shared" si="26"/>
        <v>47.276289403603641</v>
      </c>
      <c r="BH62" s="37">
        <v>5000</v>
      </c>
      <c r="BI62" s="37">
        <f t="shared" si="24"/>
        <v>1977314.79</v>
      </c>
    </row>
    <row r="63" spans="1:61" s="64" customFormat="1" x14ac:dyDescent="0.55000000000000004">
      <c r="A63" s="138">
        <v>57</v>
      </c>
      <c r="B63" s="128" t="s">
        <v>61</v>
      </c>
      <c r="C63" s="129">
        <f t="shared" si="8"/>
        <v>180000</v>
      </c>
      <c r="D63" s="129"/>
      <c r="E63" s="133">
        <v>138400</v>
      </c>
      <c r="F63" s="129">
        <f t="shared" si="9"/>
        <v>41600</v>
      </c>
      <c r="G63" s="129">
        <f>104000</f>
        <v>104000</v>
      </c>
      <c r="H63" s="133"/>
      <c r="I63" s="133">
        <v>104000</v>
      </c>
      <c r="J63" s="129">
        <f t="shared" si="10"/>
        <v>0</v>
      </c>
      <c r="K63" s="129">
        <f t="shared" si="11"/>
        <v>340000</v>
      </c>
      <c r="L63" s="133"/>
      <c r="M63" s="133">
        <v>340000</v>
      </c>
      <c r="N63" s="129">
        <f t="shared" si="12"/>
        <v>0</v>
      </c>
      <c r="O63" s="129"/>
      <c r="P63" s="129"/>
      <c r="Q63" s="129"/>
      <c r="R63" s="129">
        <f t="shared" si="13"/>
        <v>0</v>
      </c>
      <c r="S63" s="129">
        <f t="shared" si="14"/>
        <v>950000</v>
      </c>
      <c r="T63" s="133">
        <v>15000</v>
      </c>
      <c r="U63" s="133">
        <v>505532</v>
      </c>
      <c r="V63" s="129">
        <f t="shared" si="15"/>
        <v>429468</v>
      </c>
      <c r="W63" s="129">
        <f>1529000+878890</f>
        <v>2407890</v>
      </c>
      <c r="X63" s="133"/>
      <c r="Y63" s="133">
        <v>1583800</v>
      </c>
      <c r="Z63" s="129">
        <f t="shared" si="16"/>
        <v>824090</v>
      </c>
      <c r="AA63" s="129">
        <f>8088000+7764300</f>
        <v>15852300</v>
      </c>
      <c r="AB63" s="129">
        <v>5627100</v>
      </c>
      <c r="AC63" s="129">
        <v>8422744.3300000001</v>
      </c>
      <c r="AD63" s="129">
        <f t="shared" si="17"/>
        <v>1802455.67</v>
      </c>
      <c r="AE63" s="129">
        <f>220000-160800</f>
        <v>59200</v>
      </c>
      <c r="AF63" s="133"/>
      <c r="AG63" s="133">
        <v>59200</v>
      </c>
      <c r="AH63" s="129">
        <f t="shared" si="18"/>
        <v>0</v>
      </c>
      <c r="AI63" s="129">
        <f>70000+30000-25000</f>
        <v>75000</v>
      </c>
      <c r="AJ63" s="129"/>
      <c r="AK63" s="133">
        <v>43010</v>
      </c>
      <c r="AL63" s="129">
        <f t="shared" si="19"/>
        <v>31990</v>
      </c>
      <c r="AM63" s="129">
        <f>40000</f>
        <v>40000</v>
      </c>
      <c r="AN63" s="129"/>
      <c r="AO63" s="133">
        <v>40000</v>
      </c>
      <c r="AP63" s="129">
        <f t="shared" si="20"/>
        <v>0</v>
      </c>
      <c r="AQ63" s="129"/>
      <c r="AR63" s="129"/>
      <c r="AS63" s="129"/>
      <c r="AT63" s="129">
        <f t="shared" si="21"/>
        <v>0</v>
      </c>
      <c r="AU63" s="129"/>
      <c r="AV63" s="129"/>
      <c r="AW63" s="133"/>
      <c r="AX63" s="129">
        <f t="shared" si="22"/>
        <v>0</v>
      </c>
      <c r="AY63" s="129"/>
      <c r="AZ63" s="129"/>
      <c r="BA63" s="129"/>
      <c r="BB63" s="129">
        <f t="shared" si="23"/>
        <v>0</v>
      </c>
      <c r="BC63" s="135">
        <f t="shared" si="1"/>
        <v>20008390</v>
      </c>
      <c r="BD63" s="135">
        <f t="shared" si="5"/>
        <v>5642100</v>
      </c>
      <c r="BE63" s="135">
        <f t="shared" si="6"/>
        <v>11236686.33</v>
      </c>
      <c r="BF63" s="135">
        <f t="shared" si="7"/>
        <v>3129603.67</v>
      </c>
      <c r="BG63" s="129">
        <f t="shared" si="26"/>
        <v>56.159872583451239</v>
      </c>
      <c r="BH63" s="37">
        <f>8300+5046</f>
        <v>13346</v>
      </c>
      <c r="BI63" s="37">
        <f t="shared" si="24"/>
        <v>11250032.33</v>
      </c>
    </row>
    <row r="64" spans="1:61" s="64" customFormat="1" x14ac:dyDescent="0.55000000000000004">
      <c r="A64" s="138">
        <v>58</v>
      </c>
      <c r="B64" s="128" t="s">
        <v>62</v>
      </c>
      <c r="C64" s="129">
        <f t="shared" si="8"/>
        <v>180000</v>
      </c>
      <c r="D64" s="129"/>
      <c r="E64" s="133">
        <v>12840</v>
      </c>
      <c r="F64" s="129">
        <f t="shared" si="9"/>
        <v>167160</v>
      </c>
      <c r="G64" s="129">
        <f>84000</f>
        <v>84000</v>
      </c>
      <c r="H64" s="133"/>
      <c r="I64" s="133">
        <v>84000</v>
      </c>
      <c r="J64" s="129">
        <f t="shared" si="10"/>
        <v>0</v>
      </c>
      <c r="K64" s="129">
        <f t="shared" si="11"/>
        <v>340000</v>
      </c>
      <c r="L64" s="133"/>
      <c r="M64" s="133"/>
      <c r="N64" s="129">
        <f t="shared" si="12"/>
        <v>340000</v>
      </c>
      <c r="O64" s="129"/>
      <c r="P64" s="129"/>
      <c r="Q64" s="129"/>
      <c r="R64" s="129">
        <f t="shared" si="13"/>
        <v>0</v>
      </c>
      <c r="S64" s="129">
        <f t="shared" si="14"/>
        <v>950000</v>
      </c>
      <c r="T64" s="133">
        <v>24000</v>
      </c>
      <c r="U64" s="133">
        <v>546249.57999999996</v>
      </c>
      <c r="V64" s="129">
        <f t="shared" si="15"/>
        <v>379750.42000000004</v>
      </c>
      <c r="W64" s="129">
        <f>1529000+878890</f>
        <v>2407890</v>
      </c>
      <c r="X64" s="133"/>
      <c r="Y64" s="133">
        <v>321638.32</v>
      </c>
      <c r="Z64" s="129">
        <f t="shared" si="16"/>
        <v>2086251.68</v>
      </c>
      <c r="AA64" s="129"/>
      <c r="AB64" s="129"/>
      <c r="AC64" s="129"/>
      <c r="AD64" s="129">
        <f t="shared" si="17"/>
        <v>0</v>
      </c>
      <c r="AE64" s="129">
        <f>153400-61970</f>
        <v>91430</v>
      </c>
      <c r="AF64" s="133"/>
      <c r="AG64" s="133">
        <v>91430</v>
      </c>
      <c r="AH64" s="129">
        <f t="shared" si="18"/>
        <v>0</v>
      </c>
      <c r="AI64" s="129">
        <f>70000+30000-21000</f>
        <v>79000</v>
      </c>
      <c r="AJ64" s="129"/>
      <c r="AK64" s="133">
        <v>53149.4</v>
      </c>
      <c r="AL64" s="129">
        <f t="shared" si="19"/>
        <v>25850.6</v>
      </c>
      <c r="AM64" s="129">
        <f>40000</f>
        <v>40000</v>
      </c>
      <c r="AN64" s="129"/>
      <c r="AO64" s="133">
        <v>40000</v>
      </c>
      <c r="AP64" s="129">
        <f t="shared" si="20"/>
        <v>0</v>
      </c>
      <c r="AQ64" s="129"/>
      <c r="AR64" s="129"/>
      <c r="AS64" s="129"/>
      <c r="AT64" s="129">
        <f t="shared" si="21"/>
        <v>0</v>
      </c>
      <c r="AU64" s="129"/>
      <c r="AV64" s="129"/>
      <c r="AW64" s="133"/>
      <c r="AX64" s="129">
        <f t="shared" si="22"/>
        <v>0</v>
      </c>
      <c r="AY64" s="129"/>
      <c r="AZ64" s="129"/>
      <c r="BA64" s="129"/>
      <c r="BB64" s="129">
        <f t="shared" si="23"/>
        <v>0</v>
      </c>
      <c r="BC64" s="135">
        <f t="shared" si="1"/>
        <v>4172320</v>
      </c>
      <c r="BD64" s="135">
        <f t="shared" si="5"/>
        <v>24000</v>
      </c>
      <c r="BE64" s="135">
        <f t="shared" si="6"/>
        <v>1149307.2999999998</v>
      </c>
      <c r="BF64" s="135">
        <f t="shared" si="7"/>
        <v>2999012.7</v>
      </c>
      <c r="BG64" s="129">
        <f t="shared" si="26"/>
        <v>27.546000786133369</v>
      </c>
      <c r="BH64" s="37">
        <v>8160</v>
      </c>
      <c r="BI64" s="37">
        <f t="shared" si="24"/>
        <v>1157467.2999999998</v>
      </c>
    </row>
    <row r="65" spans="1:61" s="64" customFormat="1" x14ac:dyDescent="0.55000000000000004">
      <c r="A65" s="138">
        <v>59</v>
      </c>
      <c r="B65" s="128" t="s">
        <v>63</v>
      </c>
      <c r="C65" s="129">
        <f t="shared" si="8"/>
        <v>180000</v>
      </c>
      <c r="D65" s="129"/>
      <c r="E65" s="133">
        <v>12468</v>
      </c>
      <c r="F65" s="129">
        <f t="shared" si="9"/>
        <v>167532</v>
      </c>
      <c r="G65" s="129">
        <f>84000</f>
        <v>84000</v>
      </c>
      <c r="H65" s="133"/>
      <c r="I65" s="133">
        <v>83510.92</v>
      </c>
      <c r="J65" s="129">
        <f t="shared" si="10"/>
        <v>489.08000000000175</v>
      </c>
      <c r="K65" s="129">
        <f t="shared" si="11"/>
        <v>340000</v>
      </c>
      <c r="L65" s="133"/>
      <c r="M65" s="133"/>
      <c r="N65" s="129">
        <f t="shared" si="12"/>
        <v>340000</v>
      </c>
      <c r="O65" s="129"/>
      <c r="P65" s="129"/>
      <c r="Q65" s="129"/>
      <c r="R65" s="129">
        <f t="shared" si="13"/>
        <v>0</v>
      </c>
      <c r="S65" s="129">
        <f t="shared" si="14"/>
        <v>950000</v>
      </c>
      <c r="T65" s="133"/>
      <c r="U65" s="133">
        <v>580467.29</v>
      </c>
      <c r="V65" s="129">
        <f t="shared" si="15"/>
        <v>369532.70999999996</v>
      </c>
      <c r="W65" s="129">
        <f>1529000+878890</f>
        <v>2407890</v>
      </c>
      <c r="X65" s="133">
        <v>978700</v>
      </c>
      <c r="Y65" s="133">
        <v>768382.6</v>
      </c>
      <c r="Z65" s="129">
        <f t="shared" si="16"/>
        <v>660807.4</v>
      </c>
      <c r="AA65" s="129"/>
      <c r="AB65" s="129"/>
      <c r="AC65" s="129"/>
      <c r="AD65" s="129">
        <f t="shared" si="17"/>
        <v>0</v>
      </c>
      <c r="AE65" s="129">
        <f>153400-153400</f>
        <v>0</v>
      </c>
      <c r="AF65" s="133"/>
      <c r="AG65" s="133"/>
      <c r="AH65" s="129">
        <f t="shared" si="18"/>
        <v>0</v>
      </c>
      <c r="AI65" s="129">
        <f>70000+30000-20000</f>
        <v>80000</v>
      </c>
      <c r="AJ65" s="129"/>
      <c r="AK65" s="133">
        <v>56675</v>
      </c>
      <c r="AL65" s="129">
        <f t="shared" si="19"/>
        <v>23325</v>
      </c>
      <c r="AM65" s="129">
        <f>40000</f>
        <v>40000</v>
      </c>
      <c r="AN65" s="129"/>
      <c r="AO65" s="133"/>
      <c r="AP65" s="129">
        <f t="shared" si="20"/>
        <v>40000</v>
      </c>
      <c r="AQ65" s="129"/>
      <c r="AR65" s="129"/>
      <c r="AS65" s="129"/>
      <c r="AT65" s="129">
        <f t="shared" si="21"/>
        <v>0</v>
      </c>
      <c r="AU65" s="129"/>
      <c r="AV65" s="129"/>
      <c r="AW65" s="133"/>
      <c r="AX65" s="129">
        <f t="shared" si="22"/>
        <v>0</v>
      </c>
      <c r="AY65" s="129"/>
      <c r="AZ65" s="129"/>
      <c r="BA65" s="129"/>
      <c r="BB65" s="129">
        <f t="shared" si="23"/>
        <v>0</v>
      </c>
      <c r="BC65" s="135">
        <f t="shared" si="1"/>
        <v>4081890</v>
      </c>
      <c r="BD65" s="135">
        <f t="shared" si="5"/>
        <v>978700</v>
      </c>
      <c r="BE65" s="135">
        <f t="shared" si="6"/>
        <v>1501503.81</v>
      </c>
      <c r="BF65" s="135">
        <f t="shared" si="7"/>
        <v>1601686.19</v>
      </c>
      <c r="BG65" s="129">
        <f t="shared" si="26"/>
        <v>36.784524080756711</v>
      </c>
      <c r="BH65" s="37"/>
      <c r="BI65" s="37">
        <f t="shared" si="24"/>
        <v>1501503.81</v>
      </c>
    </row>
    <row r="66" spans="1:61" s="64" customFormat="1" x14ac:dyDescent="0.55000000000000004">
      <c r="A66" s="138">
        <v>60</v>
      </c>
      <c r="B66" s="128" t="s">
        <v>64</v>
      </c>
      <c r="C66" s="129">
        <f t="shared" si="8"/>
        <v>180000</v>
      </c>
      <c r="D66" s="129"/>
      <c r="E66" s="133">
        <v>30000</v>
      </c>
      <c r="F66" s="129">
        <f t="shared" si="9"/>
        <v>150000</v>
      </c>
      <c r="G66" s="129">
        <f>109000</f>
        <v>109000</v>
      </c>
      <c r="H66" s="133"/>
      <c r="I66" s="133">
        <v>88652.15</v>
      </c>
      <c r="J66" s="129">
        <f t="shared" si="10"/>
        <v>20347.850000000006</v>
      </c>
      <c r="K66" s="129">
        <f t="shared" si="11"/>
        <v>340000</v>
      </c>
      <c r="L66" s="133"/>
      <c r="M66" s="133">
        <v>340000</v>
      </c>
      <c r="N66" s="129">
        <f t="shared" si="12"/>
        <v>0</v>
      </c>
      <c r="O66" s="129"/>
      <c r="P66" s="129"/>
      <c r="Q66" s="129"/>
      <c r="R66" s="129">
        <f t="shared" si="13"/>
        <v>0</v>
      </c>
      <c r="S66" s="129">
        <f t="shared" si="14"/>
        <v>950000</v>
      </c>
      <c r="T66" s="133"/>
      <c r="U66" s="133">
        <v>478795.37</v>
      </c>
      <c r="V66" s="129">
        <f t="shared" si="15"/>
        <v>471204.63</v>
      </c>
      <c r="W66" s="129">
        <f>1529000+878890+496000</f>
        <v>2903890</v>
      </c>
      <c r="X66" s="133">
        <v>518000</v>
      </c>
      <c r="Y66" s="133">
        <v>724666.4</v>
      </c>
      <c r="Z66" s="129">
        <f t="shared" si="16"/>
        <v>1661223.6</v>
      </c>
      <c r="AA66" s="129"/>
      <c r="AB66" s="129"/>
      <c r="AC66" s="129"/>
      <c r="AD66" s="129">
        <f t="shared" si="17"/>
        <v>0</v>
      </c>
      <c r="AE66" s="129">
        <f>190000-73160</f>
        <v>116840</v>
      </c>
      <c r="AF66" s="133"/>
      <c r="AG66" s="133">
        <v>116840</v>
      </c>
      <c r="AH66" s="129">
        <f t="shared" si="18"/>
        <v>0</v>
      </c>
      <c r="AI66" s="129">
        <f>70000+30000-30000</f>
        <v>70000</v>
      </c>
      <c r="AJ66" s="129"/>
      <c r="AK66" s="133">
        <v>41500</v>
      </c>
      <c r="AL66" s="129">
        <f t="shared" si="19"/>
        <v>28500</v>
      </c>
      <c r="AM66" s="129">
        <f>40000</f>
        <v>40000</v>
      </c>
      <c r="AN66" s="129"/>
      <c r="AO66" s="133"/>
      <c r="AP66" s="129">
        <f t="shared" si="20"/>
        <v>40000</v>
      </c>
      <c r="AQ66" s="129"/>
      <c r="AR66" s="129"/>
      <c r="AS66" s="129"/>
      <c r="AT66" s="129">
        <f t="shared" si="21"/>
        <v>0</v>
      </c>
      <c r="AU66" s="129"/>
      <c r="AV66" s="129"/>
      <c r="AW66" s="133"/>
      <c r="AX66" s="129">
        <f t="shared" si="22"/>
        <v>0</v>
      </c>
      <c r="AY66" s="129"/>
      <c r="AZ66" s="129"/>
      <c r="BA66" s="129"/>
      <c r="BB66" s="129">
        <f t="shared" si="23"/>
        <v>0</v>
      </c>
      <c r="BC66" s="135">
        <f t="shared" si="1"/>
        <v>4709730</v>
      </c>
      <c r="BD66" s="135">
        <f t="shared" si="5"/>
        <v>518000</v>
      </c>
      <c r="BE66" s="135">
        <f t="shared" si="6"/>
        <v>1820453.92</v>
      </c>
      <c r="BF66" s="135">
        <f t="shared" si="7"/>
        <v>2371276.08</v>
      </c>
      <c r="BG66" s="129">
        <f t="shared" si="26"/>
        <v>38.653042106447714</v>
      </c>
      <c r="BH66" s="37">
        <v>1640</v>
      </c>
      <c r="BI66" s="37">
        <f t="shared" si="24"/>
        <v>1822093.92</v>
      </c>
    </row>
    <row r="67" spans="1:61" s="64" customFormat="1" x14ac:dyDescent="0.55000000000000004">
      <c r="A67" s="138">
        <v>61</v>
      </c>
      <c r="B67" s="128" t="s">
        <v>65</v>
      </c>
      <c r="C67" s="129">
        <f t="shared" si="8"/>
        <v>180000</v>
      </c>
      <c r="D67" s="129"/>
      <c r="E67" s="133">
        <v>105000</v>
      </c>
      <c r="F67" s="129">
        <f t="shared" si="9"/>
        <v>75000</v>
      </c>
      <c r="G67" s="129">
        <f>109000</f>
        <v>109000</v>
      </c>
      <c r="H67" s="133"/>
      <c r="I67" s="133">
        <v>44280</v>
      </c>
      <c r="J67" s="129">
        <f t="shared" si="10"/>
        <v>64720</v>
      </c>
      <c r="K67" s="129">
        <f t="shared" si="11"/>
        <v>340000</v>
      </c>
      <c r="L67" s="133"/>
      <c r="M67" s="133"/>
      <c r="N67" s="129">
        <f t="shared" si="12"/>
        <v>340000</v>
      </c>
      <c r="O67" s="129"/>
      <c r="P67" s="129"/>
      <c r="Q67" s="129"/>
      <c r="R67" s="129">
        <f t="shared" si="13"/>
        <v>0</v>
      </c>
      <c r="S67" s="129">
        <f t="shared" si="14"/>
        <v>950000</v>
      </c>
      <c r="T67" s="133"/>
      <c r="U67" s="133">
        <v>554564.9</v>
      </c>
      <c r="V67" s="129">
        <f t="shared" si="15"/>
        <v>395435.1</v>
      </c>
      <c r="W67" s="129">
        <f>1589000+500000+878890</f>
        <v>2967890</v>
      </c>
      <c r="X67" s="133"/>
      <c r="Y67" s="133">
        <v>2035000</v>
      </c>
      <c r="Z67" s="129">
        <f t="shared" si="16"/>
        <v>932890</v>
      </c>
      <c r="AA67" s="129"/>
      <c r="AB67" s="129"/>
      <c r="AC67" s="129"/>
      <c r="AD67" s="129">
        <f t="shared" si="17"/>
        <v>0</v>
      </c>
      <c r="AE67" s="129">
        <f>190000-190000</f>
        <v>0</v>
      </c>
      <c r="AF67" s="133"/>
      <c r="AG67" s="133"/>
      <c r="AH67" s="129">
        <f t="shared" si="18"/>
        <v>0</v>
      </c>
      <c r="AI67" s="129">
        <f>70000+30000-25000</f>
        <v>75000</v>
      </c>
      <c r="AJ67" s="129"/>
      <c r="AK67" s="133">
        <v>43080</v>
      </c>
      <c r="AL67" s="129">
        <f t="shared" si="19"/>
        <v>31920</v>
      </c>
      <c r="AM67" s="129">
        <f>40000</f>
        <v>40000</v>
      </c>
      <c r="AN67" s="129"/>
      <c r="AO67" s="133"/>
      <c r="AP67" s="129">
        <f t="shared" si="20"/>
        <v>40000</v>
      </c>
      <c r="AQ67" s="129"/>
      <c r="AR67" s="129"/>
      <c r="AS67" s="129"/>
      <c r="AT67" s="129">
        <f t="shared" si="21"/>
        <v>0</v>
      </c>
      <c r="AU67" s="129"/>
      <c r="AV67" s="129"/>
      <c r="AW67" s="133"/>
      <c r="AX67" s="129">
        <f t="shared" si="22"/>
        <v>0</v>
      </c>
      <c r="AY67" s="129"/>
      <c r="AZ67" s="129"/>
      <c r="BA67" s="129"/>
      <c r="BB67" s="129">
        <f t="shared" si="23"/>
        <v>0</v>
      </c>
      <c r="BC67" s="135">
        <f t="shared" si="1"/>
        <v>4661890</v>
      </c>
      <c r="BD67" s="135">
        <f t="shared" si="5"/>
        <v>0</v>
      </c>
      <c r="BE67" s="135">
        <f t="shared" si="6"/>
        <v>2781924.9</v>
      </c>
      <c r="BF67" s="135">
        <f t="shared" si="7"/>
        <v>1879965.1</v>
      </c>
      <c r="BG67" s="129">
        <f t="shared" si="26"/>
        <v>59.673756781048027</v>
      </c>
      <c r="BH67" s="37">
        <v>14272</v>
      </c>
      <c r="BI67" s="37">
        <f t="shared" si="24"/>
        <v>2796196.9</v>
      </c>
    </row>
    <row r="68" spans="1:61" s="64" customFormat="1" x14ac:dyDescent="0.55000000000000004">
      <c r="A68" s="138">
        <v>62</v>
      </c>
      <c r="B68" s="128" t="s">
        <v>66</v>
      </c>
      <c r="C68" s="129">
        <f t="shared" si="8"/>
        <v>180000</v>
      </c>
      <c r="D68" s="129"/>
      <c r="E68" s="133">
        <v>95665</v>
      </c>
      <c r="F68" s="129">
        <f t="shared" si="9"/>
        <v>84335</v>
      </c>
      <c r="G68" s="129">
        <f>184000</f>
        <v>184000</v>
      </c>
      <c r="H68" s="133"/>
      <c r="I68" s="133">
        <v>128638.06</v>
      </c>
      <c r="J68" s="129">
        <f t="shared" si="10"/>
        <v>55361.94</v>
      </c>
      <c r="K68" s="129">
        <f t="shared" si="11"/>
        <v>340000</v>
      </c>
      <c r="L68" s="133"/>
      <c r="M68" s="133"/>
      <c r="N68" s="129">
        <f t="shared" si="12"/>
        <v>340000</v>
      </c>
      <c r="O68" s="129"/>
      <c r="P68" s="129"/>
      <c r="Q68" s="129"/>
      <c r="R68" s="129">
        <f t="shared" si="13"/>
        <v>0</v>
      </c>
      <c r="S68" s="129">
        <f t="shared" si="14"/>
        <v>950000</v>
      </c>
      <c r="T68" s="133"/>
      <c r="U68" s="133">
        <v>535998.41</v>
      </c>
      <c r="V68" s="129">
        <f t="shared" si="15"/>
        <v>414001.58999999997</v>
      </c>
      <c r="W68" s="129">
        <f>1649000+878890</f>
        <v>2527890</v>
      </c>
      <c r="X68" s="133"/>
      <c r="Y68" s="133">
        <v>1639404</v>
      </c>
      <c r="Z68" s="129">
        <f t="shared" si="16"/>
        <v>888486</v>
      </c>
      <c r="AA68" s="129"/>
      <c r="AB68" s="129"/>
      <c r="AC68" s="129"/>
      <c r="AD68" s="129">
        <f t="shared" si="17"/>
        <v>0</v>
      </c>
      <c r="AE68" s="129">
        <f>222300-222300</f>
        <v>0</v>
      </c>
      <c r="AF68" s="133"/>
      <c r="AG68" s="133"/>
      <c r="AH68" s="129">
        <f t="shared" si="18"/>
        <v>0</v>
      </c>
      <c r="AI68" s="129">
        <f>70000+30000-20000</f>
        <v>80000</v>
      </c>
      <c r="AJ68" s="129"/>
      <c r="AK68" s="133">
        <v>52125</v>
      </c>
      <c r="AL68" s="129">
        <f t="shared" si="19"/>
        <v>27875</v>
      </c>
      <c r="AM68" s="129">
        <f>40000</f>
        <v>40000</v>
      </c>
      <c r="AN68" s="129"/>
      <c r="AO68" s="133"/>
      <c r="AP68" s="129">
        <f t="shared" si="20"/>
        <v>40000</v>
      </c>
      <c r="AQ68" s="129"/>
      <c r="AR68" s="129"/>
      <c r="AS68" s="129"/>
      <c r="AT68" s="129">
        <f t="shared" si="21"/>
        <v>0</v>
      </c>
      <c r="AU68" s="129"/>
      <c r="AV68" s="129"/>
      <c r="AW68" s="133"/>
      <c r="AX68" s="129">
        <f t="shared" si="22"/>
        <v>0</v>
      </c>
      <c r="AY68" s="129"/>
      <c r="AZ68" s="129"/>
      <c r="BA68" s="129"/>
      <c r="BB68" s="129">
        <f>AY68-AZ68-BA68</f>
        <v>0</v>
      </c>
      <c r="BC68" s="135">
        <f t="shared" si="1"/>
        <v>4301890</v>
      </c>
      <c r="BD68" s="135">
        <f t="shared" si="5"/>
        <v>0</v>
      </c>
      <c r="BE68" s="135">
        <f t="shared" si="6"/>
        <v>2451830.4699999997</v>
      </c>
      <c r="BF68" s="135">
        <f t="shared" si="7"/>
        <v>1850059.53</v>
      </c>
      <c r="BG68" s="129">
        <f t="shared" si="26"/>
        <v>56.994262289365828</v>
      </c>
      <c r="BH68" s="37">
        <v>6250</v>
      </c>
      <c r="BI68" s="37">
        <f t="shared" si="24"/>
        <v>2458080.4699999997</v>
      </c>
    </row>
    <row r="69" spans="1:61" s="64" customFormat="1" x14ac:dyDescent="0.55000000000000004">
      <c r="A69" s="138">
        <v>63</v>
      </c>
      <c r="B69" s="128" t="s">
        <v>67</v>
      </c>
      <c r="C69" s="129">
        <f t="shared" si="8"/>
        <v>180000</v>
      </c>
      <c r="D69" s="129"/>
      <c r="E69" s="133">
        <v>116000</v>
      </c>
      <c r="F69" s="129">
        <f t="shared" si="9"/>
        <v>64000</v>
      </c>
      <c r="G69" s="129">
        <f>109000</f>
        <v>109000</v>
      </c>
      <c r="H69" s="133"/>
      <c r="I69" s="133">
        <v>82316.55</v>
      </c>
      <c r="J69" s="129">
        <f t="shared" si="10"/>
        <v>26683.449999999997</v>
      </c>
      <c r="K69" s="129">
        <f t="shared" si="11"/>
        <v>340000</v>
      </c>
      <c r="L69" s="133"/>
      <c r="M69" s="133"/>
      <c r="N69" s="129">
        <f t="shared" si="12"/>
        <v>340000</v>
      </c>
      <c r="O69" s="129"/>
      <c r="P69" s="129"/>
      <c r="Q69" s="129"/>
      <c r="R69" s="129">
        <f t="shared" si="13"/>
        <v>0</v>
      </c>
      <c r="S69" s="129">
        <f t="shared" si="14"/>
        <v>950000</v>
      </c>
      <c r="T69" s="133">
        <v>3500</v>
      </c>
      <c r="U69" s="133">
        <v>624123</v>
      </c>
      <c r="V69" s="129">
        <f t="shared" si="15"/>
        <v>322377</v>
      </c>
      <c r="W69" s="129">
        <f>1529000+878890</f>
        <v>2407890</v>
      </c>
      <c r="X69" s="133"/>
      <c r="Y69" s="133">
        <v>440000</v>
      </c>
      <c r="Z69" s="129">
        <f t="shared" si="16"/>
        <v>1967890</v>
      </c>
      <c r="AA69" s="129"/>
      <c r="AB69" s="129"/>
      <c r="AC69" s="129"/>
      <c r="AD69" s="129">
        <f t="shared" si="17"/>
        <v>0</v>
      </c>
      <c r="AE69" s="129">
        <f>190000-190000</f>
        <v>0</v>
      </c>
      <c r="AF69" s="133"/>
      <c r="AG69" s="133"/>
      <c r="AH69" s="129">
        <f t="shared" si="18"/>
        <v>0</v>
      </c>
      <c r="AI69" s="129">
        <f t="shared" si="25"/>
        <v>100000</v>
      </c>
      <c r="AJ69" s="129"/>
      <c r="AK69" s="133">
        <v>72216</v>
      </c>
      <c r="AL69" s="129">
        <f t="shared" si="19"/>
        <v>27784</v>
      </c>
      <c r="AM69" s="129">
        <f>40000</f>
        <v>40000</v>
      </c>
      <c r="AN69" s="129"/>
      <c r="AO69" s="133"/>
      <c r="AP69" s="129">
        <f t="shared" si="20"/>
        <v>40000</v>
      </c>
      <c r="AQ69" s="129"/>
      <c r="AR69" s="129"/>
      <c r="AS69" s="129"/>
      <c r="AT69" s="129">
        <f t="shared" si="21"/>
        <v>0</v>
      </c>
      <c r="AU69" s="129"/>
      <c r="AV69" s="129"/>
      <c r="AW69" s="133"/>
      <c r="AX69" s="129">
        <f t="shared" si="22"/>
        <v>0</v>
      </c>
      <c r="AY69" s="129"/>
      <c r="AZ69" s="129"/>
      <c r="BA69" s="129"/>
      <c r="BB69" s="129"/>
      <c r="BC69" s="135">
        <f t="shared" si="1"/>
        <v>4126890</v>
      </c>
      <c r="BD69" s="135">
        <f t="shared" si="5"/>
        <v>3500</v>
      </c>
      <c r="BE69" s="135">
        <f t="shared" si="6"/>
        <v>1334655.55</v>
      </c>
      <c r="BF69" s="135">
        <f t="shared" si="7"/>
        <v>2788734.45</v>
      </c>
      <c r="BG69" s="129">
        <f t="shared" si="26"/>
        <v>32.340468246064226</v>
      </c>
      <c r="BH69" s="37">
        <v>16500</v>
      </c>
      <c r="BI69" s="37">
        <f t="shared" si="24"/>
        <v>1351155.55</v>
      </c>
    </row>
    <row r="70" spans="1:61" s="64" customFormat="1" x14ac:dyDescent="0.55000000000000004">
      <c r="A70" s="138">
        <v>64</v>
      </c>
      <c r="B70" s="128" t="s">
        <v>68</v>
      </c>
      <c r="C70" s="129">
        <f t="shared" si="8"/>
        <v>180000</v>
      </c>
      <c r="D70" s="129"/>
      <c r="E70" s="133">
        <v>25730</v>
      </c>
      <c r="F70" s="129">
        <f t="shared" si="9"/>
        <v>154270</v>
      </c>
      <c r="G70" s="129">
        <f>109000</f>
        <v>109000</v>
      </c>
      <c r="H70" s="133"/>
      <c r="I70" s="133">
        <v>54220.7</v>
      </c>
      <c r="J70" s="129">
        <f t="shared" si="10"/>
        <v>54779.3</v>
      </c>
      <c r="K70" s="129">
        <f t="shared" si="11"/>
        <v>340000</v>
      </c>
      <c r="L70" s="133"/>
      <c r="M70" s="133"/>
      <c r="N70" s="129">
        <f t="shared" si="12"/>
        <v>340000</v>
      </c>
      <c r="O70" s="129"/>
      <c r="P70" s="129"/>
      <c r="Q70" s="129"/>
      <c r="R70" s="129">
        <f t="shared" si="13"/>
        <v>0</v>
      </c>
      <c r="S70" s="129">
        <f t="shared" si="14"/>
        <v>950000</v>
      </c>
      <c r="T70" s="133"/>
      <c r="U70" s="133">
        <v>329443.90000000002</v>
      </c>
      <c r="V70" s="129">
        <f t="shared" si="15"/>
        <v>620556.1</v>
      </c>
      <c r="W70" s="129">
        <f>1529000+878890</f>
        <v>2407890</v>
      </c>
      <c r="X70" s="133"/>
      <c r="Y70" s="133"/>
      <c r="Z70" s="129">
        <f t="shared" si="16"/>
        <v>2407890</v>
      </c>
      <c r="AA70" s="129"/>
      <c r="AB70" s="129"/>
      <c r="AC70" s="129"/>
      <c r="AD70" s="129">
        <f t="shared" si="17"/>
        <v>0</v>
      </c>
      <c r="AE70" s="129">
        <f>190700-190700</f>
        <v>0</v>
      </c>
      <c r="AF70" s="133"/>
      <c r="AG70" s="133"/>
      <c r="AH70" s="129">
        <f t="shared" si="18"/>
        <v>0</v>
      </c>
      <c r="AI70" s="129">
        <f>70000+30000-20000</f>
        <v>80000</v>
      </c>
      <c r="AJ70" s="129"/>
      <c r="AK70" s="133">
        <v>52135</v>
      </c>
      <c r="AL70" s="129">
        <f t="shared" si="19"/>
        <v>27865</v>
      </c>
      <c r="AM70" s="129">
        <f>40000</f>
        <v>40000</v>
      </c>
      <c r="AN70" s="129"/>
      <c r="AO70" s="133"/>
      <c r="AP70" s="129">
        <f t="shared" si="20"/>
        <v>40000</v>
      </c>
      <c r="AQ70" s="129"/>
      <c r="AR70" s="129"/>
      <c r="AS70" s="129"/>
      <c r="AT70" s="129">
        <f t="shared" si="21"/>
        <v>0</v>
      </c>
      <c r="AU70" s="129"/>
      <c r="AV70" s="129"/>
      <c r="AW70" s="133"/>
      <c r="AX70" s="129">
        <f t="shared" si="22"/>
        <v>0</v>
      </c>
      <c r="AY70" s="129"/>
      <c r="AZ70" s="129"/>
      <c r="BA70" s="129"/>
      <c r="BB70" s="129"/>
      <c r="BC70" s="135">
        <f t="shared" ref="BC70:BC82" si="27">SUM(C70+G70+K70+O70+S70+W70+AA70+AE70+AI70+AM70+AQ70+AU70)</f>
        <v>4106890</v>
      </c>
      <c r="BD70" s="135">
        <f t="shared" si="5"/>
        <v>0</v>
      </c>
      <c r="BE70" s="135">
        <f t="shared" si="6"/>
        <v>461529.60000000003</v>
      </c>
      <c r="BF70" s="135">
        <f t="shared" si="7"/>
        <v>3645360.4</v>
      </c>
      <c r="BG70" s="129">
        <f t="shared" ref="BG70:BG82" si="28">SUM(BE70*100/BC70)</f>
        <v>11.237934300650858</v>
      </c>
      <c r="BH70" s="37">
        <v>1821</v>
      </c>
      <c r="BI70" s="37">
        <f t="shared" si="24"/>
        <v>463350.60000000003</v>
      </c>
    </row>
    <row r="71" spans="1:61" s="64" customFormat="1" x14ac:dyDescent="0.55000000000000004">
      <c r="A71" s="138">
        <v>65</v>
      </c>
      <c r="B71" s="128" t="s">
        <v>69</v>
      </c>
      <c r="C71" s="129">
        <f t="shared" si="8"/>
        <v>180000</v>
      </c>
      <c r="D71" s="129"/>
      <c r="E71" s="133">
        <v>90500</v>
      </c>
      <c r="F71" s="129">
        <f t="shared" si="9"/>
        <v>89500</v>
      </c>
      <c r="G71" s="129">
        <f>84000</f>
        <v>84000</v>
      </c>
      <c r="H71" s="133"/>
      <c r="I71" s="133">
        <v>42736</v>
      </c>
      <c r="J71" s="129">
        <f t="shared" si="10"/>
        <v>41264</v>
      </c>
      <c r="K71" s="129">
        <f t="shared" si="11"/>
        <v>340000</v>
      </c>
      <c r="L71" s="133"/>
      <c r="M71" s="133"/>
      <c r="N71" s="129">
        <f t="shared" si="12"/>
        <v>340000</v>
      </c>
      <c r="O71" s="129"/>
      <c r="P71" s="129"/>
      <c r="Q71" s="129"/>
      <c r="R71" s="129">
        <f t="shared" si="13"/>
        <v>0</v>
      </c>
      <c r="S71" s="129">
        <f t="shared" si="14"/>
        <v>950000</v>
      </c>
      <c r="T71" s="133"/>
      <c r="U71" s="133">
        <v>515133.41</v>
      </c>
      <c r="V71" s="129">
        <f t="shared" si="15"/>
        <v>434866.59</v>
      </c>
      <c r="W71" s="129">
        <f>1529000+878890</f>
        <v>2407890</v>
      </c>
      <c r="X71" s="133">
        <v>490000</v>
      </c>
      <c r="Y71" s="133">
        <v>90000</v>
      </c>
      <c r="Z71" s="129">
        <f t="shared" si="16"/>
        <v>1827890</v>
      </c>
      <c r="AA71" s="129"/>
      <c r="AB71" s="129"/>
      <c r="AC71" s="129"/>
      <c r="AD71" s="129">
        <f t="shared" si="17"/>
        <v>0</v>
      </c>
      <c r="AE71" s="129">
        <f>153400-153400</f>
        <v>0</v>
      </c>
      <c r="AF71" s="133"/>
      <c r="AG71" s="133"/>
      <c r="AH71" s="129">
        <f t="shared" si="18"/>
        <v>0</v>
      </c>
      <c r="AI71" s="129">
        <f>70000+30000-20000</f>
        <v>80000</v>
      </c>
      <c r="AJ71" s="129"/>
      <c r="AK71" s="133">
        <v>55842</v>
      </c>
      <c r="AL71" s="129">
        <f t="shared" si="19"/>
        <v>24158</v>
      </c>
      <c r="AM71" s="129">
        <f>40000</f>
        <v>40000</v>
      </c>
      <c r="AN71" s="129"/>
      <c r="AO71" s="133"/>
      <c r="AP71" s="129">
        <f t="shared" si="20"/>
        <v>40000</v>
      </c>
      <c r="AQ71" s="129">
        <f>56200</f>
        <v>56200</v>
      </c>
      <c r="AR71" s="129"/>
      <c r="AS71" s="129">
        <v>56200</v>
      </c>
      <c r="AT71" s="129">
        <f t="shared" si="21"/>
        <v>0</v>
      </c>
      <c r="AU71" s="129"/>
      <c r="AV71" s="129"/>
      <c r="AW71" s="133"/>
      <c r="AX71" s="129">
        <f t="shared" si="22"/>
        <v>0</v>
      </c>
      <c r="AY71" s="129"/>
      <c r="AZ71" s="129"/>
      <c r="BA71" s="129"/>
      <c r="BB71" s="129"/>
      <c r="BC71" s="135">
        <f t="shared" si="27"/>
        <v>4138090</v>
      </c>
      <c r="BD71" s="135">
        <f t="shared" ref="BD71:BE82" si="29">SUM(D71+H71+L71+P71+T71+X71+AB71+AF71+AJ71+AN71+AR71+AV71)</f>
        <v>490000</v>
      </c>
      <c r="BE71" s="135">
        <f t="shared" si="29"/>
        <v>850411.40999999992</v>
      </c>
      <c r="BF71" s="135">
        <f t="shared" ref="BF71:BF82" si="30">SUM(F71+J71+N71+R71+V71+Z71+AD71+AH71+AL71+AP71+AT71+AX71)</f>
        <v>2797678.59</v>
      </c>
      <c r="BG71" s="129">
        <f t="shared" si="28"/>
        <v>20.550819581014427</v>
      </c>
      <c r="BH71" s="37">
        <v>2500</v>
      </c>
      <c r="BI71" s="37">
        <f t="shared" si="24"/>
        <v>852911.40999999992</v>
      </c>
    </row>
    <row r="72" spans="1:61" s="64" customFormat="1" x14ac:dyDescent="0.55000000000000004">
      <c r="A72" s="138">
        <v>66</v>
      </c>
      <c r="B72" s="128" t="s">
        <v>70</v>
      </c>
      <c r="C72" s="129">
        <f t="shared" ref="C72:C82" si="31">180000</f>
        <v>180000</v>
      </c>
      <c r="D72" s="129"/>
      <c r="E72" s="133">
        <v>90700</v>
      </c>
      <c r="F72" s="129">
        <f t="shared" ref="F72:F82" si="32">SUM(C72-D72-E72)</f>
        <v>89300</v>
      </c>
      <c r="G72" s="129">
        <f>165700</f>
        <v>165700</v>
      </c>
      <c r="H72" s="133"/>
      <c r="I72" s="133">
        <v>148013.12</v>
      </c>
      <c r="J72" s="129">
        <f t="shared" ref="J72:J82" si="33">SUM(G72-H72-I72)</f>
        <v>17686.880000000005</v>
      </c>
      <c r="K72" s="129">
        <f t="shared" ref="K72:K82" si="34">340000</f>
        <v>340000</v>
      </c>
      <c r="L72" s="133"/>
      <c r="M72" s="133"/>
      <c r="N72" s="129">
        <f t="shared" ref="N72:N82" si="35">SUM(K72-L72-M72)</f>
        <v>340000</v>
      </c>
      <c r="O72" s="129"/>
      <c r="P72" s="129"/>
      <c r="Q72" s="129"/>
      <c r="R72" s="129">
        <f t="shared" ref="R72:R82" si="36">SUM(O72-P72-Q72)</f>
        <v>0</v>
      </c>
      <c r="S72" s="129">
        <f t="shared" ref="S72:S82" si="37">550000+400000</f>
        <v>950000</v>
      </c>
      <c r="T72" s="133">
        <v>12000</v>
      </c>
      <c r="U72" s="133">
        <v>611759.34</v>
      </c>
      <c r="V72" s="129">
        <f t="shared" ref="V72:V82" si="38">SUM(S72-T72-U72)</f>
        <v>326240.66000000003</v>
      </c>
      <c r="W72" s="129">
        <f>1649000+878890</f>
        <v>2527890</v>
      </c>
      <c r="X72" s="133"/>
      <c r="Y72" s="133">
        <v>1691810</v>
      </c>
      <c r="Z72" s="129">
        <f t="shared" ref="Z72:Z82" si="39">SUM(W72-X72-Y72)</f>
        <v>836080</v>
      </c>
      <c r="AA72" s="129"/>
      <c r="AB72" s="129"/>
      <c r="AC72" s="129"/>
      <c r="AD72" s="129">
        <f t="shared" ref="AD72:AD82" si="40">SUM(AA72-AB72-AC72)</f>
        <v>0</v>
      </c>
      <c r="AE72" s="129">
        <f>220000-220000</f>
        <v>0</v>
      </c>
      <c r="AF72" s="133"/>
      <c r="AG72" s="133"/>
      <c r="AH72" s="129">
        <f t="shared" ref="AH72:AH82" si="41">SUM(AE72-AF72-AG72)</f>
        <v>0</v>
      </c>
      <c r="AI72" s="129">
        <f>70000+30000-10000</f>
        <v>90000</v>
      </c>
      <c r="AJ72" s="129"/>
      <c r="AK72" s="133">
        <v>66609.899999999994</v>
      </c>
      <c r="AL72" s="129">
        <f t="shared" ref="AL72:AL82" si="42">SUM(AI72-AJ72-AK72)</f>
        <v>23390.100000000006</v>
      </c>
      <c r="AM72" s="129">
        <f>40000</f>
        <v>40000</v>
      </c>
      <c r="AN72" s="129"/>
      <c r="AO72" s="133">
        <v>40000</v>
      </c>
      <c r="AP72" s="129">
        <f t="shared" ref="AP72:AP82" si="43">SUM(AM72-AN72-AO72)</f>
        <v>0</v>
      </c>
      <c r="AQ72" s="129"/>
      <c r="AR72" s="129"/>
      <c r="AS72" s="129"/>
      <c r="AT72" s="129">
        <f t="shared" ref="AT72:AT82" si="44">SUM(AQ72-AR72-AS72)</f>
        <v>0</v>
      </c>
      <c r="AU72" s="129"/>
      <c r="AV72" s="129"/>
      <c r="AW72" s="133"/>
      <c r="AX72" s="129">
        <f t="shared" ref="AX72:AX82" si="45">SUM(AU72-AV72-AW72)</f>
        <v>0</v>
      </c>
      <c r="AY72" s="129"/>
      <c r="AZ72" s="129"/>
      <c r="BA72" s="129"/>
      <c r="BB72" s="129"/>
      <c r="BC72" s="135">
        <f t="shared" si="27"/>
        <v>4293590</v>
      </c>
      <c r="BD72" s="135">
        <f t="shared" si="29"/>
        <v>12000</v>
      </c>
      <c r="BE72" s="135">
        <f t="shared" si="29"/>
        <v>2648892.36</v>
      </c>
      <c r="BF72" s="135">
        <f t="shared" si="30"/>
        <v>1632697.6400000001</v>
      </c>
      <c r="BG72" s="129">
        <f t="shared" si="28"/>
        <v>61.694115181002381</v>
      </c>
      <c r="BH72" s="37">
        <v>5480</v>
      </c>
      <c r="BI72" s="37">
        <f t="shared" ref="BI72:BI82" si="46">SUM(BE72+BH72)</f>
        <v>2654372.36</v>
      </c>
    </row>
    <row r="73" spans="1:61" s="64" customFormat="1" x14ac:dyDescent="0.55000000000000004">
      <c r="A73" s="138">
        <v>67</v>
      </c>
      <c r="B73" s="128" t="s">
        <v>71</v>
      </c>
      <c r="C73" s="129">
        <f t="shared" si="31"/>
        <v>180000</v>
      </c>
      <c r="D73" s="129"/>
      <c r="E73" s="133">
        <v>46775</v>
      </c>
      <c r="F73" s="129">
        <f t="shared" si="32"/>
        <v>133225</v>
      </c>
      <c r="G73" s="129">
        <f>94000</f>
        <v>94000</v>
      </c>
      <c r="H73" s="133"/>
      <c r="I73" s="133">
        <v>73230.48</v>
      </c>
      <c r="J73" s="129">
        <f t="shared" si="33"/>
        <v>20769.520000000004</v>
      </c>
      <c r="K73" s="129">
        <f t="shared" si="34"/>
        <v>340000</v>
      </c>
      <c r="L73" s="133"/>
      <c r="M73" s="133"/>
      <c r="N73" s="129">
        <f t="shared" si="35"/>
        <v>340000</v>
      </c>
      <c r="O73" s="129"/>
      <c r="P73" s="129"/>
      <c r="Q73" s="129"/>
      <c r="R73" s="129">
        <f t="shared" si="36"/>
        <v>0</v>
      </c>
      <c r="S73" s="129">
        <f t="shared" si="37"/>
        <v>950000</v>
      </c>
      <c r="T73" s="133"/>
      <c r="U73" s="133">
        <v>509062.8</v>
      </c>
      <c r="V73" s="129">
        <f t="shared" si="38"/>
        <v>440937.2</v>
      </c>
      <c r="W73" s="129">
        <f>1529000+878890</f>
        <v>2407890</v>
      </c>
      <c r="X73" s="133">
        <v>612200</v>
      </c>
      <c r="Y73" s="133">
        <v>380533.5</v>
      </c>
      <c r="Z73" s="129">
        <f t="shared" si="39"/>
        <v>1415156.5</v>
      </c>
      <c r="AA73" s="129"/>
      <c r="AB73" s="129"/>
      <c r="AC73" s="129"/>
      <c r="AD73" s="129">
        <f t="shared" si="40"/>
        <v>0</v>
      </c>
      <c r="AE73" s="129">
        <f>188400-188400</f>
        <v>0</v>
      </c>
      <c r="AF73" s="133"/>
      <c r="AG73" s="133"/>
      <c r="AH73" s="129">
        <f t="shared" si="41"/>
        <v>0</v>
      </c>
      <c r="AI73" s="129">
        <f>70000+30000-25000</f>
        <v>75000</v>
      </c>
      <c r="AJ73" s="129"/>
      <c r="AK73" s="133">
        <v>47364</v>
      </c>
      <c r="AL73" s="129">
        <f t="shared" si="42"/>
        <v>27636</v>
      </c>
      <c r="AM73" s="129">
        <f>40000</f>
        <v>40000</v>
      </c>
      <c r="AN73" s="129"/>
      <c r="AO73" s="133"/>
      <c r="AP73" s="129">
        <f t="shared" si="43"/>
        <v>40000</v>
      </c>
      <c r="AQ73" s="129"/>
      <c r="AR73" s="129"/>
      <c r="AS73" s="129"/>
      <c r="AT73" s="129">
        <f t="shared" si="44"/>
        <v>0</v>
      </c>
      <c r="AU73" s="129"/>
      <c r="AV73" s="129"/>
      <c r="AW73" s="133"/>
      <c r="AX73" s="129">
        <f t="shared" si="45"/>
        <v>0</v>
      </c>
      <c r="AY73" s="129"/>
      <c r="AZ73" s="129"/>
      <c r="BA73" s="129"/>
      <c r="BB73" s="129"/>
      <c r="BC73" s="135">
        <f t="shared" si="27"/>
        <v>4086890</v>
      </c>
      <c r="BD73" s="135">
        <f t="shared" si="29"/>
        <v>612200</v>
      </c>
      <c r="BE73" s="135">
        <f t="shared" si="29"/>
        <v>1056965.78</v>
      </c>
      <c r="BF73" s="135">
        <f t="shared" si="30"/>
        <v>2417724.2199999997</v>
      </c>
      <c r="BG73" s="129">
        <f t="shared" si="28"/>
        <v>25.862349610584086</v>
      </c>
      <c r="BH73" s="37">
        <v>4640</v>
      </c>
      <c r="BI73" s="37">
        <f t="shared" si="46"/>
        <v>1061605.78</v>
      </c>
    </row>
    <row r="74" spans="1:61" s="64" customFormat="1" x14ac:dyDescent="0.55000000000000004">
      <c r="A74" s="138">
        <v>68</v>
      </c>
      <c r="B74" s="128" t="s">
        <v>72</v>
      </c>
      <c r="C74" s="129">
        <f t="shared" si="31"/>
        <v>180000</v>
      </c>
      <c r="D74" s="129"/>
      <c r="E74" s="133">
        <v>30000</v>
      </c>
      <c r="F74" s="129">
        <f t="shared" si="32"/>
        <v>150000</v>
      </c>
      <c r="G74" s="129">
        <f>109000</f>
        <v>109000</v>
      </c>
      <c r="H74" s="133"/>
      <c r="I74" s="133">
        <v>77786.94</v>
      </c>
      <c r="J74" s="129">
        <f t="shared" si="33"/>
        <v>31213.059999999998</v>
      </c>
      <c r="K74" s="129">
        <f t="shared" si="34"/>
        <v>340000</v>
      </c>
      <c r="L74" s="133"/>
      <c r="M74" s="133"/>
      <c r="N74" s="129">
        <f t="shared" si="35"/>
        <v>340000</v>
      </c>
      <c r="O74" s="129"/>
      <c r="P74" s="129"/>
      <c r="Q74" s="129"/>
      <c r="R74" s="129">
        <f t="shared" si="36"/>
        <v>0</v>
      </c>
      <c r="S74" s="129">
        <f t="shared" si="37"/>
        <v>950000</v>
      </c>
      <c r="T74" s="133"/>
      <c r="U74" s="133">
        <v>543903.88</v>
      </c>
      <c r="V74" s="129">
        <f t="shared" si="38"/>
        <v>406096.12</v>
      </c>
      <c r="W74" s="129">
        <f>1529000+878890</f>
        <v>2407890</v>
      </c>
      <c r="X74" s="133">
        <v>14250</v>
      </c>
      <c r="Y74" s="133">
        <v>1755203</v>
      </c>
      <c r="Z74" s="129">
        <f t="shared" si="39"/>
        <v>638437</v>
      </c>
      <c r="AA74" s="129"/>
      <c r="AB74" s="129"/>
      <c r="AC74" s="129"/>
      <c r="AD74" s="129">
        <f t="shared" si="40"/>
        <v>0</v>
      </c>
      <c r="AE74" s="129">
        <f>190000-190000</f>
        <v>0</v>
      </c>
      <c r="AF74" s="133"/>
      <c r="AG74" s="133"/>
      <c r="AH74" s="129">
        <f t="shared" si="41"/>
        <v>0</v>
      </c>
      <c r="AI74" s="129">
        <f>70000+30000-20000</f>
        <v>80000</v>
      </c>
      <c r="AJ74" s="129"/>
      <c r="AK74" s="133">
        <v>52444</v>
      </c>
      <c r="AL74" s="129">
        <f t="shared" si="42"/>
        <v>27556</v>
      </c>
      <c r="AM74" s="129">
        <f>40000</f>
        <v>40000</v>
      </c>
      <c r="AN74" s="129"/>
      <c r="AO74" s="133"/>
      <c r="AP74" s="129">
        <f t="shared" si="43"/>
        <v>40000</v>
      </c>
      <c r="AQ74" s="129"/>
      <c r="AR74" s="129"/>
      <c r="AS74" s="129"/>
      <c r="AT74" s="129">
        <f t="shared" si="44"/>
        <v>0</v>
      </c>
      <c r="AU74" s="129"/>
      <c r="AV74" s="129"/>
      <c r="AW74" s="133"/>
      <c r="AX74" s="129">
        <f t="shared" si="45"/>
        <v>0</v>
      </c>
      <c r="AY74" s="129"/>
      <c r="AZ74" s="129"/>
      <c r="BA74" s="129"/>
      <c r="BB74" s="129"/>
      <c r="BC74" s="135">
        <f t="shared" si="27"/>
        <v>4106890</v>
      </c>
      <c r="BD74" s="135">
        <f t="shared" si="29"/>
        <v>14250</v>
      </c>
      <c r="BE74" s="135">
        <f t="shared" si="29"/>
        <v>2459337.8200000003</v>
      </c>
      <c r="BF74" s="135">
        <f t="shared" si="30"/>
        <v>1633302.18</v>
      </c>
      <c r="BG74" s="129">
        <f t="shared" si="28"/>
        <v>59.883216253661537</v>
      </c>
      <c r="BH74" s="37">
        <v>3550</v>
      </c>
      <c r="BI74" s="37">
        <f t="shared" si="46"/>
        <v>2462887.8200000003</v>
      </c>
    </row>
    <row r="75" spans="1:61" s="64" customFormat="1" x14ac:dyDescent="0.55000000000000004">
      <c r="A75" s="138">
        <v>69</v>
      </c>
      <c r="B75" s="128" t="s">
        <v>73</v>
      </c>
      <c r="C75" s="129">
        <f t="shared" si="31"/>
        <v>180000</v>
      </c>
      <c r="D75" s="129"/>
      <c r="E75" s="133">
        <v>38815</v>
      </c>
      <c r="F75" s="129">
        <f t="shared" si="32"/>
        <v>141185</v>
      </c>
      <c r="G75" s="129">
        <f>150700</f>
        <v>150700</v>
      </c>
      <c r="H75" s="133"/>
      <c r="I75" s="133">
        <v>135465.92000000001</v>
      </c>
      <c r="J75" s="129">
        <f t="shared" si="33"/>
        <v>15234.079999999987</v>
      </c>
      <c r="K75" s="129">
        <f t="shared" si="34"/>
        <v>340000</v>
      </c>
      <c r="L75" s="133"/>
      <c r="M75" s="133">
        <v>340000</v>
      </c>
      <c r="N75" s="129">
        <f t="shared" si="35"/>
        <v>0</v>
      </c>
      <c r="O75" s="129">
        <f>200000+200000</f>
        <v>400000</v>
      </c>
      <c r="P75" s="129"/>
      <c r="Q75" s="129">
        <v>159720</v>
      </c>
      <c r="R75" s="129">
        <f t="shared" si="36"/>
        <v>240280</v>
      </c>
      <c r="S75" s="129">
        <f t="shared" si="37"/>
        <v>950000</v>
      </c>
      <c r="T75" s="133"/>
      <c r="U75" s="133">
        <v>558193.74</v>
      </c>
      <c r="V75" s="129">
        <f t="shared" si="38"/>
        <v>391806.26</v>
      </c>
      <c r="W75" s="129">
        <f>1649000+878890</f>
        <v>2527890</v>
      </c>
      <c r="X75" s="133"/>
      <c r="Y75" s="133">
        <v>1723730</v>
      </c>
      <c r="Z75" s="129">
        <f t="shared" si="39"/>
        <v>804160</v>
      </c>
      <c r="AA75" s="129"/>
      <c r="AB75" s="129"/>
      <c r="AC75" s="129"/>
      <c r="AD75" s="129">
        <f t="shared" si="40"/>
        <v>0</v>
      </c>
      <c r="AE75" s="129">
        <f>220000-220000</f>
        <v>0</v>
      </c>
      <c r="AF75" s="133"/>
      <c r="AG75" s="133"/>
      <c r="AH75" s="129">
        <f t="shared" si="41"/>
        <v>0</v>
      </c>
      <c r="AI75" s="129">
        <f>70000+30000-10000</f>
        <v>90000</v>
      </c>
      <c r="AJ75" s="129"/>
      <c r="AK75" s="133">
        <v>67386.149999999994</v>
      </c>
      <c r="AL75" s="129">
        <f t="shared" si="42"/>
        <v>22613.850000000006</v>
      </c>
      <c r="AM75" s="129">
        <f>40000</f>
        <v>40000</v>
      </c>
      <c r="AN75" s="129"/>
      <c r="AO75" s="133"/>
      <c r="AP75" s="129">
        <f t="shared" si="43"/>
        <v>40000</v>
      </c>
      <c r="AQ75" s="129">
        <f>5000</f>
        <v>5000</v>
      </c>
      <c r="AR75" s="129"/>
      <c r="AS75" s="129">
        <v>5000</v>
      </c>
      <c r="AT75" s="129">
        <f t="shared" si="44"/>
        <v>0</v>
      </c>
      <c r="AU75" s="129"/>
      <c r="AV75" s="129"/>
      <c r="AW75" s="133"/>
      <c r="AX75" s="129">
        <f t="shared" si="45"/>
        <v>0</v>
      </c>
      <c r="AY75" s="129"/>
      <c r="AZ75" s="129"/>
      <c r="BA75" s="129"/>
      <c r="BB75" s="129"/>
      <c r="BC75" s="135">
        <f t="shared" si="27"/>
        <v>4683590</v>
      </c>
      <c r="BD75" s="135">
        <f t="shared" si="29"/>
        <v>0</v>
      </c>
      <c r="BE75" s="135">
        <f t="shared" si="29"/>
        <v>3028310.81</v>
      </c>
      <c r="BF75" s="135">
        <f t="shared" si="30"/>
        <v>1655279.19</v>
      </c>
      <c r="BG75" s="129">
        <f t="shared" si="28"/>
        <v>64.657897254029493</v>
      </c>
      <c r="BH75" s="37">
        <v>5100</v>
      </c>
      <c r="BI75" s="37">
        <f t="shared" si="46"/>
        <v>3033410.81</v>
      </c>
    </row>
    <row r="76" spans="1:61" s="64" customFormat="1" x14ac:dyDescent="0.55000000000000004">
      <c r="A76" s="138">
        <v>70</v>
      </c>
      <c r="B76" s="128" t="s">
        <v>74</v>
      </c>
      <c r="C76" s="129">
        <f t="shared" si="31"/>
        <v>180000</v>
      </c>
      <c r="D76" s="129"/>
      <c r="E76" s="133">
        <v>99289</v>
      </c>
      <c r="F76" s="129">
        <f t="shared" si="32"/>
        <v>80711</v>
      </c>
      <c r="G76" s="129">
        <f>104000</f>
        <v>104000</v>
      </c>
      <c r="H76" s="133"/>
      <c r="I76" s="133">
        <v>102824.84</v>
      </c>
      <c r="J76" s="129">
        <f t="shared" si="33"/>
        <v>1175.1600000000035</v>
      </c>
      <c r="K76" s="129">
        <f t="shared" si="34"/>
        <v>340000</v>
      </c>
      <c r="L76" s="133"/>
      <c r="M76" s="133">
        <v>340000</v>
      </c>
      <c r="N76" s="129">
        <f t="shared" si="35"/>
        <v>0</v>
      </c>
      <c r="O76" s="129"/>
      <c r="P76" s="129"/>
      <c r="Q76" s="129"/>
      <c r="R76" s="129">
        <f t="shared" si="36"/>
        <v>0</v>
      </c>
      <c r="S76" s="129">
        <f t="shared" si="37"/>
        <v>950000</v>
      </c>
      <c r="T76" s="133"/>
      <c r="U76" s="133">
        <v>448911.91</v>
      </c>
      <c r="V76" s="129">
        <f t="shared" si="38"/>
        <v>501088.09</v>
      </c>
      <c r="W76" s="129">
        <f>1529000+878890</f>
        <v>2407890</v>
      </c>
      <c r="X76" s="133">
        <v>1528750</v>
      </c>
      <c r="Y76" s="133"/>
      <c r="Z76" s="129">
        <f t="shared" si="39"/>
        <v>879140</v>
      </c>
      <c r="AA76" s="129"/>
      <c r="AB76" s="129"/>
      <c r="AC76" s="129"/>
      <c r="AD76" s="129">
        <f t="shared" si="40"/>
        <v>0</v>
      </c>
      <c r="AE76" s="129">
        <f>153400-141450</f>
        <v>11950</v>
      </c>
      <c r="AF76" s="133"/>
      <c r="AG76" s="133"/>
      <c r="AH76" s="129">
        <f t="shared" si="41"/>
        <v>11950</v>
      </c>
      <c r="AI76" s="129">
        <f>70000+30000-20000</f>
        <v>80000</v>
      </c>
      <c r="AJ76" s="129"/>
      <c r="AK76" s="133">
        <v>62285.79</v>
      </c>
      <c r="AL76" s="129">
        <f t="shared" si="42"/>
        <v>17714.21</v>
      </c>
      <c r="AM76" s="129">
        <f>40000</f>
        <v>40000</v>
      </c>
      <c r="AN76" s="129"/>
      <c r="AO76" s="133"/>
      <c r="AP76" s="129">
        <f t="shared" si="43"/>
        <v>40000</v>
      </c>
      <c r="AQ76" s="129">
        <f>5000</f>
        <v>5000</v>
      </c>
      <c r="AR76" s="129"/>
      <c r="AS76" s="129">
        <v>5000</v>
      </c>
      <c r="AT76" s="129">
        <f t="shared" si="44"/>
        <v>0</v>
      </c>
      <c r="AU76" s="129"/>
      <c r="AV76" s="129"/>
      <c r="AW76" s="133"/>
      <c r="AX76" s="129">
        <f t="shared" si="45"/>
        <v>0</v>
      </c>
      <c r="AY76" s="129"/>
      <c r="AZ76" s="129"/>
      <c r="BA76" s="129"/>
      <c r="BB76" s="129"/>
      <c r="BC76" s="135">
        <f t="shared" si="27"/>
        <v>4118840</v>
      </c>
      <c r="BD76" s="135">
        <f t="shared" si="29"/>
        <v>1528750</v>
      </c>
      <c r="BE76" s="135">
        <f t="shared" si="29"/>
        <v>1058311.54</v>
      </c>
      <c r="BF76" s="135">
        <f t="shared" si="30"/>
        <v>1531778.46</v>
      </c>
      <c r="BG76" s="129">
        <f t="shared" si="28"/>
        <v>25.694407648755476</v>
      </c>
      <c r="BH76" s="37">
        <v>22465</v>
      </c>
      <c r="BI76" s="37">
        <f t="shared" si="46"/>
        <v>1080776.54</v>
      </c>
    </row>
    <row r="77" spans="1:61" s="64" customFormat="1" x14ac:dyDescent="0.55000000000000004">
      <c r="A77" s="138">
        <v>71</v>
      </c>
      <c r="B77" s="128" t="s">
        <v>75</v>
      </c>
      <c r="C77" s="129">
        <f t="shared" si="31"/>
        <v>180000</v>
      </c>
      <c r="D77" s="129"/>
      <c r="E77" s="133">
        <v>101582</v>
      </c>
      <c r="F77" s="129">
        <f t="shared" si="32"/>
        <v>78418</v>
      </c>
      <c r="G77" s="129">
        <f>119000</f>
        <v>119000</v>
      </c>
      <c r="H77" s="133"/>
      <c r="I77" s="133">
        <v>104077</v>
      </c>
      <c r="J77" s="129">
        <f t="shared" si="33"/>
        <v>14923</v>
      </c>
      <c r="K77" s="129">
        <f t="shared" si="34"/>
        <v>340000</v>
      </c>
      <c r="L77" s="133"/>
      <c r="M77" s="133">
        <v>340000</v>
      </c>
      <c r="N77" s="129">
        <f t="shared" si="35"/>
        <v>0</v>
      </c>
      <c r="O77" s="129"/>
      <c r="P77" s="129"/>
      <c r="Q77" s="129"/>
      <c r="R77" s="129">
        <f t="shared" si="36"/>
        <v>0</v>
      </c>
      <c r="S77" s="129">
        <f t="shared" si="37"/>
        <v>950000</v>
      </c>
      <c r="T77" s="133"/>
      <c r="U77" s="133">
        <v>397561</v>
      </c>
      <c r="V77" s="129">
        <f t="shared" si="38"/>
        <v>552439</v>
      </c>
      <c r="W77" s="129">
        <f>1589000+878890</f>
        <v>2467890</v>
      </c>
      <c r="X77" s="133">
        <v>992500</v>
      </c>
      <c r="Y77" s="133">
        <v>592591</v>
      </c>
      <c r="Z77" s="129">
        <f t="shared" si="39"/>
        <v>882799</v>
      </c>
      <c r="AA77" s="129"/>
      <c r="AB77" s="129"/>
      <c r="AC77" s="129"/>
      <c r="AD77" s="129">
        <f t="shared" si="40"/>
        <v>0</v>
      </c>
      <c r="AE77" s="129">
        <f>220000-220000</f>
        <v>0</v>
      </c>
      <c r="AF77" s="133"/>
      <c r="AG77" s="133"/>
      <c r="AH77" s="129">
        <f t="shared" si="41"/>
        <v>0</v>
      </c>
      <c r="AI77" s="129">
        <f>70000+30000-25000</f>
        <v>75000</v>
      </c>
      <c r="AJ77" s="129"/>
      <c r="AK77" s="133">
        <v>48530.6</v>
      </c>
      <c r="AL77" s="129">
        <f t="shared" si="42"/>
        <v>26469.4</v>
      </c>
      <c r="AM77" s="129">
        <f>40000</f>
        <v>40000</v>
      </c>
      <c r="AN77" s="129"/>
      <c r="AO77" s="133">
        <v>40000</v>
      </c>
      <c r="AP77" s="129">
        <f t="shared" si="43"/>
        <v>0</v>
      </c>
      <c r="AQ77" s="129"/>
      <c r="AR77" s="129"/>
      <c r="AS77" s="129"/>
      <c r="AT77" s="129">
        <f t="shared" si="44"/>
        <v>0</v>
      </c>
      <c r="AU77" s="129"/>
      <c r="AV77" s="129"/>
      <c r="AW77" s="133"/>
      <c r="AX77" s="129">
        <f t="shared" si="45"/>
        <v>0</v>
      </c>
      <c r="AY77" s="129"/>
      <c r="AZ77" s="129"/>
      <c r="BA77" s="129"/>
      <c r="BB77" s="129"/>
      <c r="BC77" s="135">
        <f t="shared" si="27"/>
        <v>4171890</v>
      </c>
      <c r="BD77" s="135">
        <f t="shared" si="29"/>
        <v>992500</v>
      </c>
      <c r="BE77" s="135">
        <f t="shared" si="29"/>
        <v>1624341.6</v>
      </c>
      <c r="BF77" s="135">
        <f t="shared" si="30"/>
        <v>1555048.4</v>
      </c>
      <c r="BG77" s="129">
        <f t="shared" si="28"/>
        <v>38.93538899635417</v>
      </c>
      <c r="BH77" s="37">
        <v>2500</v>
      </c>
      <c r="BI77" s="37">
        <f t="shared" si="46"/>
        <v>1626841.6</v>
      </c>
    </row>
    <row r="78" spans="1:61" s="64" customFormat="1" x14ac:dyDescent="0.55000000000000004">
      <c r="A78" s="138">
        <v>72</v>
      </c>
      <c r="B78" s="128" t="s">
        <v>76</v>
      </c>
      <c r="C78" s="129">
        <f t="shared" si="31"/>
        <v>180000</v>
      </c>
      <c r="D78" s="129"/>
      <c r="E78" s="133">
        <v>7000</v>
      </c>
      <c r="F78" s="129">
        <f t="shared" si="32"/>
        <v>173000</v>
      </c>
      <c r="G78" s="129">
        <f>124000</f>
        <v>124000</v>
      </c>
      <c r="H78" s="133"/>
      <c r="I78" s="133">
        <v>120881.39</v>
      </c>
      <c r="J78" s="129">
        <f t="shared" si="33"/>
        <v>3118.6100000000006</v>
      </c>
      <c r="K78" s="129">
        <f t="shared" si="34"/>
        <v>340000</v>
      </c>
      <c r="L78" s="133"/>
      <c r="M78" s="133">
        <v>294200</v>
      </c>
      <c r="N78" s="129">
        <f t="shared" si="35"/>
        <v>45800</v>
      </c>
      <c r="O78" s="129"/>
      <c r="P78" s="129"/>
      <c r="Q78" s="129"/>
      <c r="R78" s="129">
        <f t="shared" si="36"/>
        <v>0</v>
      </c>
      <c r="S78" s="129">
        <f t="shared" si="37"/>
        <v>950000</v>
      </c>
      <c r="T78" s="133"/>
      <c r="U78" s="133">
        <v>427645.24</v>
      </c>
      <c r="V78" s="129">
        <f t="shared" si="38"/>
        <v>522354.76</v>
      </c>
      <c r="W78" s="129">
        <f>1589000+878890</f>
        <v>2467890</v>
      </c>
      <c r="X78" s="133"/>
      <c r="Y78" s="133">
        <v>1042831.08</v>
      </c>
      <c r="Z78" s="129">
        <f t="shared" si="39"/>
        <v>1425058.92</v>
      </c>
      <c r="AA78" s="129"/>
      <c r="AB78" s="129"/>
      <c r="AC78" s="129"/>
      <c r="AD78" s="129">
        <f t="shared" si="40"/>
        <v>0</v>
      </c>
      <c r="AE78" s="129">
        <f>190000-83900</f>
        <v>106100</v>
      </c>
      <c r="AF78" s="133"/>
      <c r="AG78" s="133">
        <v>106100</v>
      </c>
      <c r="AH78" s="129">
        <f t="shared" si="41"/>
        <v>0</v>
      </c>
      <c r="AI78" s="129">
        <f>70000+30000-15000</f>
        <v>85000</v>
      </c>
      <c r="AJ78" s="129"/>
      <c r="AK78" s="133">
        <v>59138.5</v>
      </c>
      <c r="AL78" s="129">
        <f t="shared" si="42"/>
        <v>25861.5</v>
      </c>
      <c r="AM78" s="129">
        <f>40000</f>
        <v>40000</v>
      </c>
      <c r="AN78" s="129"/>
      <c r="AO78" s="133">
        <v>40000</v>
      </c>
      <c r="AP78" s="129">
        <f t="shared" si="43"/>
        <v>0</v>
      </c>
      <c r="AQ78" s="129"/>
      <c r="AR78" s="129"/>
      <c r="AS78" s="129"/>
      <c r="AT78" s="129">
        <f t="shared" si="44"/>
        <v>0</v>
      </c>
      <c r="AU78" s="129"/>
      <c r="AV78" s="129"/>
      <c r="AW78" s="133"/>
      <c r="AX78" s="129">
        <f t="shared" si="45"/>
        <v>0</v>
      </c>
      <c r="AY78" s="129"/>
      <c r="AZ78" s="129"/>
      <c r="BA78" s="129"/>
      <c r="BB78" s="129"/>
      <c r="BC78" s="135">
        <f t="shared" si="27"/>
        <v>4292990</v>
      </c>
      <c r="BD78" s="135">
        <f t="shared" si="29"/>
        <v>0</v>
      </c>
      <c r="BE78" s="135">
        <f t="shared" si="29"/>
        <v>2097796.21</v>
      </c>
      <c r="BF78" s="135">
        <f t="shared" si="30"/>
        <v>2195193.79</v>
      </c>
      <c r="BG78" s="129">
        <f t="shared" si="28"/>
        <v>48.865620697928485</v>
      </c>
      <c r="BH78" s="37">
        <v>23952</v>
      </c>
      <c r="BI78" s="37">
        <f t="shared" si="46"/>
        <v>2121748.21</v>
      </c>
    </row>
    <row r="79" spans="1:61" s="64" customFormat="1" x14ac:dyDescent="0.55000000000000004">
      <c r="A79" s="138">
        <v>73</v>
      </c>
      <c r="B79" s="128" t="s">
        <v>77</v>
      </c>
      <c r="C79" s="129">
        <f t="shared" si="31"/>
        <v>180000</v>
      </c>
      <c r="D79" s="129"/>
      <c r="E79" s="133">
        <v>173085</v>
      </c>
      <c r="F79" s="129">
        <f t="shared" si="32"/>
        <v>6915</v>
      </c>
      <c r="G79" s="129">
        <f>129000</f>
        <v>129000</v>
      </c>
      <c r="H79" s="133"/>
      <c r="I79" s="133">
        <v>74381.009999999995</v>
      </c>
      <c r="J79" s="129">
        <f t="shared" si="33"/>
        <v>54618.990000000005</v>
      </c>
      <c r="K79" s="129">
        <f t="shared" si="34"/>
        <v>340000</v>
      </c>
      <c r="L79" s="133"/>
      <c r="M79" s="133">
        <v>271800</v>
      </c>
      <c r="N79" s="129">
        <f t="shared" si="35"/>
        <v>68200</v>
      </c>
      <c r="O79" s="129"/>
      <c r="P79" s="129"/>
      <c r="Q79" s="129"/>
      <c r="R79" s="129">
        <f t="shared" si="36"/>
        <v>0</v>
      </c>
      <c r="S79" s="129">
        <f t="shared" si="37"/>
        <v>950000</v>
      </c>
      <c r="T79" s="133">
        <v>360000</v>
      </c>
      <c r="U79" s="133">
        <v>540655.56999999995</v>
      </c>
      <c r="V79" s="129">
        <f t="shared" si="38"/>
        <v>49344.430000000051</v>
      </c>
      <c r="W79" s="129">
        <f>1589000+878890</f>
        <v>2467890</v>
      </c>
      <c r="X79" s="133">
        <v>300000</v>
      </c>
      <c r="Y79" s="133">
        <v>1289000</v>
      </c>
      <c r="Z79" s="129">
        <f t="shared" si="39"/>
        <v>878890</v>
      </c>
      <c r="AA79" s="129"/>
      <c r="AB79" s="129"/>
      <c r="AC79" s="129"/>
      <c r="AD79" s="129">
        <f t="shared" si="40"/>
        <v>0</v>
      </c>
      <c r="AE79" s="129">
        <f>220000-220000</f>
        <v>0</v>
      </c>
      <c r="AF79" s="133"/>
      <c r="AG79" s="133"/>
      <c r="AH79" s="129">
        <f t="shared" si="41"/>
        <v>0</v>
      </c>
      <c r="AI79" s="129">
        <f>70000+30000-25000</f>
        <v>75000</v>
      </c>
      <c r="AJ79" s="129"/>
      <c r="AK79" s="133">
        <v>51650</v>
      </c>
      <c r="AL79" s="129">
        <f t="shared" si="42"/>
        <v>23350</v>
      </c>
      <c r="AM79" s="129">
        <f>40000</f>
        <v>40000</v>
      </c>
      <c r="AN79" s="129"/>
      <c r="AO79" s="133"/>
      <c r="AP79" s="129">
        <f t="shared" si="43"/>
        <v>40000</v>
      </c>
      <c r="AQ79" s="129"/>
      <c r="AR79" s="129"/>
      <c r="AS79" s="129"/>
      <c r="AT79" s="129">
        <f t="shared" si="44"/>
        <v>0</v>
      </c>
      <c r="AU79" s="129"/>
      <c r="AV79" s="129"/>
      <c r="AW79" s="133"/>
      <c r="AX79" s="129">
        <f t="shared" si="45"/>
        <v>0</v>
      </c>
      <c r="AY79" s="129"/>
      <c r="AZ79" s="129"/>
      <c r="BA79" s="129"/>
      <c r="BB79" s="129"/>
      <c r="BC79" s="135">
        <f t="shared" si="27"/>
        <v>4181890</v>
      </c>
      <c r="BD79" s="135">
        <f t="shared" si="29"/>
        <v>660000</v>
      </c>
      <c r="BE79" s="135">
        <f t="shared" si="29"/>
        <v>2400571.58</v>
      </c>
      <c r="BF79" s="135">
        <f t="shared" si="30"/>
        <v>1121318.42</v>
      </c>
      <c r="BG79" s="129">
        <f t="shared" si="28"/>
        <v>57.403986714141212</v>
      </c>
      <c r="BH79" s="37">
        <v>4110</v>
      </c>
      <c r="BI79" s="37">
        <f t="shared" si="46"/>
        <v>2404681.58</v>
      </c>
    </row>
    <row r="80" spans="1:61" s="64" customFormat="1" x14ac:dyDescent="0.55000000000000004">
      <c r="A80" s="138">
        <v>74</v>
      </c>
      <c r="B80" s="128" t="s">
        <v>78</v>
      </c>
      <c r="C80" s="129">
        <f t="shared" si="31"/>
        <v>180000</v>
      </c>
      <c r="D80" s="129"/>
      <c r="E80" s="133">
        <v>109620</v>
      </c>
      <c r="F80" s="129">
        <f t="shared" si="32"/>
        <v>70380</v>
      </c>
      <c r="G80" s="129">
        <f>109000</f>
        <v>109000</v>
      </c>
      <c r="H80" s="133"/>
      <c r="I80" s="133">
        <v>79168.37</v>
      </c>
      <c r="J80" s="129">
        <f t="shared" si="33"/>
        <v>29831.630000000005</v>
      </c>
      <c r="K80" s="129">
        <f t="shared" si="34"/>
        <v>340000</v>
      </c>
      <c r="L80" s="133"/>
      <c r="M80" s="133"/>
      <c r="N80" s="129">
        <f t="shared" si="35"/>
        <v>340000</v>
      </c>
      <c r="O80" s="129"/>
      <c r="P80" s="129"/>
      <c r="Q80" s="129"/>
      <c r="R80" s="129">
        <f t="shared" si="36"/>
        <v>0</v>
      </c>
      <c r="S80" s="129">
        <f t="shared" si="37"/>
        <v>950000</v>
      </c>
      <c r="T80" s="133">
        <v>22987.8</v>
      </c>
      <c r="U80" s="133">
        <v>476196.2</v>
      </c>
      <c r="V80" s="129">
        <f t="shared" si="38"/>
        <v>450815.99999999994</v>
      </c>
      <c r="W80" s="129">
        <f>1589000+878890</f>
        <v>2467890</v>
      </c>
      <c r="X80" s="133">
        <v>27950</v>
      </c>
      <c r="Y80" s="133">
        <v>1685795</v>
      </c>
      <c r="Z80" s="129">
        <f t="shared" si="39"/>
        <v>754145</v>
      </c>
      <c r="AA80" s="129"/>
      <c r="AB80" s="129"/>
      <c r="AC80" s="129"/>
      <c r="AD80" s="129">
        <f t="shared" si="40"/>
        <v>0</v>
      </c>
      <c r="AE80" s="129">
        <f>190000-190000</f>
        <v>0</v>
      </c>
      <c r="AF80" s="133"/>
      <c r="AG80" s="133"/>
      <c r="AH80" s="129">
        <f t="shared" si="41"/>
        <v>0</v>
      </c>
      <c r="AI80" s="129">
        <f>70000+30000-15000</f>
        <v>85000</v>
      </c>
      <c r="AJ80" s="129"/>
      <c r="AK80" s="133">
        <v>57708</v>
      </c>
      <c r="AL80" s="129">
        <f t="shared" si="42"/>
        <v>27292</v>
      </c>
      <c r="AM80" s="129">
        <f>40000</f>
        <v>40000</v>
      </c>
      <c r="AN80" s="129"/>
      <c r="AO80" s="133"/>
      <c r="AP80" s="129">
        <f t="shared" si="43"/>
        <v>40000</v>
      </c>
      <c r="AQ80" s="129">
        <f>5000</f>
        <v>5000</v>
      </c>
      <c r="AR80" s="129"/>
      <c r="AS80" s="129">
        <v>5000</v>
      </c>
      <c r="AT80" s="129">
        <f t="shared" si="44"/>
        <v>0</v>
      </c>
      <c r="AU80" s="129"/>
      <c r="AV80" s="129"/>
      <c r="AW80" s="133"/>
      <c r="AX80" s="129">
        <f t="shared" si="45"/>
        <v>0</v>
      </c>
      <c r="AY80" s="129"/>
      <c r="AZ80" s="129"/>
      <c r="BA80" s="129"/>
      <c r="BB80" s="129"/>
      <c r="BC80" s="135">
        <f t="shared" si="27"/>
        <v>4176890</v>
      </c>
      <c r="BD80" s="135">
        <f t="shared" si="29"/>
        <v>50937.8</v>
      </c>
      <c r="BE80" s="135">
        <f t="shared" si="29"/>
        <v>2413487.5700000003</v>
      </c>
      <c r="BF80" s="135">
        <f t="shared" si="30"/>
        <v>1712464.63</v>
      </c>
      <c r="BG80" s="129">
        <f t="shared" si="28"/>
        <v>57.78192794160249</v>
      </c>
      <c r="BH80" s="37"/>
      <c r="BI80" s="37">
        <f t="shared" si="46"/>
        <v>2413487.5700000003</v>
      </c>
    </row>
    <row r="81" spans="1:61" s="64" customFormat="1" x14ac:dyDescent="0.55000000000000004">
      <c r="A81" s="138">
        <v>75</v>
      </c>
      <c r="B81" s="128" t="s">
        <v>79</v>
      </c>
      <c r="C81" s="129">
        <f t="shared" si="31"/>
        <v>180000</v>
      </c>
      <c r="D81" s="129"/>
      <c r="E81" s="133">
        <v>105224</v>
      </c>
      <c r="F81" s="129">
        <f t="shared" si="32"/>
        <v>74776</v>
      </c>
      <c r="G81" s="129">
        <f>134000</f>
        <v>134000</v>
      </c>
      <c r="H81" s="133"/>
      <c r="I81" s="133">
        <v>108890.94</v>
      </c>
      <c r="J81" s="129">
        <f t="shared" si="33"/>
        <v>25109.059999999998</v>
      </c>
      <c r="K81" s="129">
        <f t="shared" si="34"/>
        <v>340000</v>
      </c>
      <c r="L81" s="133"/>
      <c r="M81" s="133">
        <v>340000</v>
      </c>
      <c r="N81" s="129">
        <f t="shared" si="35"/>
        <v>0</v>
      </c>
      <c r="O81" s="129">
        <f>200000+200000</f>
        <v>400000</v>
      </c>
      <c r="P81" s="129"/>
      <c r="Q81" s="129">
        <v>96785</v>
      </c>
      <c r="R81" s="129">
        <f t="shared" si="36"/>
        <v>303215</v>
      </c>
      <c r="S81" s="129">
        <f t="shared" si="37"/>
        <v>950000</v>
      </c>
      <c r="T81" s="133">
        <v>16500</v>
      </c>
      <c r="U81" s="133">
        <v>512263.7</v>
      </c>
      <c r="V81" s="129">
        <f t="shared" si="38"/>
        <v>421236.3</v>
      </c>
      <c r="W81" s="129">
        <f>1529000+878890</f>
        <v>2407890</v>
      </c>
      <c r="X81" s="133">
        <v>100000</v>
      </c>
      <c r="Y81" s="133">
        <v>1168570</v>
      </c>
      <c r="Z81" s="129">
        <f t="shared" si="39"/>
        <v>1139320</v>
      </c>
      <c r="AA81" s="129"/>
      <c r="AB81" s="129"/>
      <c r="AC81" s="129"/>
      <c r="AD81" s="129">
        <f t="shared" si="40"/>
        <v>0</v>
      </c>
      <c r="AE81" s="129">
        <f>190000-190000</f>
        <v>0</v>
      </c>
      <c r="AF81" s="133"/>
      <c r="AG81" s="133"/>
      <c r="AH81" s="129">
        <f t="shared" si="41"/>
        <v>0</v>
      </c>
      <c r="AI81" s="129">
        <f>70000+30000-15000</f>
        <v>85000</v>
      </c>
      <c r="AJ81" s="129"/>
      <c r="AK81" s="133">
        <v>55293</v>
      </c>
      <c r="AL81" s="129">
        <f t="shared" si="42"/>
        <v>29707</v>
      </c>
      <c r="AM81" s="129">
        <f>40000</f>
        <v>40000</v>
      </c>
      <c r="AN81" s="129"/>
      <c r="AO81" s="133">
        <v>40000</v>
      </c>
      <c r="AP81" s="129">
        <f t="shared" si="43"/>
        <v>0</v>
      </c>
      <c r="AQ81" s="129">
        <f>5000</f>
        <v>5000</v>
      </c>
      <c r="AR81" s="129"/>
      <c r="AS81" s="129">
        <v>4772.99</v>
      </c>
      <c r="AT81" s="129">
        <f t="shared" si="44"/>
        <v>227.01000000000022</v>
      </c>
      <c r="AU81" s="129"/>
      <c r="AV81" s="129"/>
      <c r="AW81" s="133"/>
      <c r="AX81" s="129">
        <f t="shared" si="45"/>
        <v>0</v>
      </c>
      <c r="AY81" s="129"/>
      <c r="AZ81" s="129"/>
      <c r="BA81" s="129"/>
      <c r="BB81" s="129"/>
      <c r="BC81" s="135">
        <f t="shared" si="27"/>
        <v>4541890</v>
      </c>
      <c r="BD81" s="135">
        <f t="shared" si="29"/>
        <v>116500</v>
      </c>
      <c r="BE81" s="135">
        <f t="shared" si="29"/>
        <v>2431799.63</v>
      </c>
      <c r="BF81" s="135">
        <f t="shared" si="30"/>
        <v>1993590.3699999999</v>
      </c>
      <c r="BG81" s="129">
        <f t="shared" si="28"/>
        <v>53.541579166382277</v>
      </c>
      <c r="BH81" s="37">
        <v>3600</v>
      </c>
      <c r="BI81" s="37">
        <f t="shared" si="46"/>
        <v>2435399.63</v>
      </c>
    </row>
    <row r="82" spans="1:61" s="64" customFormat="1" x14ac:dyDescent="0.55000000000000004">
      <c r="A82" s="138">
        <v>76</v>
      </c>
      <c r="B82" s="128" t="s">
        <v>80</v>
      </c>
      <c r="C82" s="129">
        <f t="shared" si="31"/>
        <v>180000</v>
      </c>
      <c r="D82" s="129"/>
      <c r="E82" s="133">
        <v>19500</v>
      </c>
      <c r="F82" s="129">
        <f t="shared" si="32"/>
        <v>160500</v>
      </c>
      <c r="G82" s="129">
        <f>109000</f>
        <v>109000</v>
      </c>
      <c r="H82" s="133"/>
      <c r="I82" s="133">
        <v>48740.97</v>
      </c>
      <c r="J82" s="129">
        <f t="shared" si="33"/>
        <v>60259.03</v>
      </c>
      <c r="K82" s="129">
        <f t="shared" si="34"/>
        <v>340000</v>
      </c>
      <c r="L82" s="133"/>
      <c r="M82" s="133"/>
      <c r="N82" s="129">
        <f t="shared" si="35"/>
        <v>340000</v>
      </c>
      <c r="O82" s="129"/>
      <c r="P82" s="129"/>
      <c r="Q82" s="129"/>
      <c r="R82" s="129">
        <f t="shared" si="36"/>
        <v>0</v>
      </c>
      <c r="S82" s="129">
        <f t="shared" si="37"/>
        <v>950000</v>
      </c>
      <c r="T82" s="133"/>
      <c r="U82" s="133">
        <v>565949</v>
      </c>
      <c r="V82" s="129">
        <f t="shared" si="38"/>
        <v>384051</v>
      </c>
      <c r="W82" s="129">
        <f>1529000+410000+274000+878890</f>
        <v>3091890</v>
      </c>
      <c r="X82" s="133"/>
      <c r="Y82" s="133">
        <v>1905000</v>
      </c>
      <c r="Z82" s="129">
        <f t="shared" si="39"/>
        <v>1186890</v>
      </c>
      <c r="AA82" s="129"/>
      <c r="AB82" s="129"/>
      <c r="AC82" s="129"/>
      <c r="AD82" s="129">
        <f t="shared" si="40"/>
        <v>0</v>
      </c>
      <c r="AE82" s="129">
        <f>190000-190000</f>
        <v>0</v>
      </c>
      <c r="AF82" s="133"/>
      <c r="AG82" s="133"/>
      <c r="AH82" s="129">
        <f t="shared" si="41"/>
        <v>0</v>
      </c>
      <c r="AI82" s="129">
        <f>70000+30000-25000</f>
        <v>75000</v>
      </c>
      <c r="AJ82" s="129"/>
      <c r="AK82" s="133">
        <v>41610</v>
      </c>
      <c r="AL82" s="129">
        <f t="shared" si="42"/>
        <v>33390</v>
      </c>
      <c r="AM82" s="129">
        <f>40000</f>
        <v>40000</v>
      </c>
      <c r="AN82" s="129"/>
      <c r="AO82" s="133"/>
      <c r="AP82" s="129">
        <f t="shared" si="43"/>
        <v>40000</v>
      </c>
      <c r="AQ82" s="129"/>
      <c r="AR82" s="129"/>
      <c r="AS82" s="129"/>
      <c r="AT82" s="129">
        <f t="shared" si="44"/>
        <v>0</v>
      </c>
      <c r="AU82" s="129"/>
      <c r="AV82" s="129"/>
      <c r="AW82" s="133"/>
      <c r="AX82" s="129">
        <f t="shared" si="45"/>
        <v>0</v>
      </c>
      <c r="AY82" s="129"/>
      <c r="AZ82" s="129"/>
      <c r="BA82" s="129"/>
      <c r="BB82" s="129"/>
      <c r="BC82" s="135">
        <f t="shared" si="27"/>
        <v>4785890</v>
      </c>
      <c r="BD82" s="135">
        <f t="shared" si="29"/>
        <v>0</v>
      </c>
      <c r="BE82" s="135">
        <f t="shared" si="29"/>
        <v>2580799.9699999997</v>
      </c>
      <c r="BF82" s="135">
        <f t="shared" si="30"/>
        <v>2205090.0300000003</v>
      </c>
      <c r="BG82" s="129">
        <f t="shared" si="28"/>
        <v>53.925183612661378</v>
      </c>
      <c r="BH82" s="37">
        <v>7659</v>
      </c>
      <c r="BI82" s="37">
        <f t="shared" si="46"/>
        <v>2588458.9699999997</v>
      </c>
    </row>
  </sheetData>
  <sheetProtection selectLockedCells="1"/>
  <mergeCells count="17">
    <mergeCell ref="AU4:AX4"/>
    <mergeCell ref="AM4:AP4"/>
    <mergeCell ref="AE4:AH4"/>
    <mergeCell ref="AY4:BB4"/>
    <mergeCell ref="A2:BG2"/>
    <mergeCell ref="A4:A5"/>
    <mergeCell ref="B4:B5"/>
    <mergeCell ref="BC4:BG4"/>
    <mergeCell ref="AA4:AD4"/>
    <mergeCell ref="AQ4:AT4"/>
    <mergeCell ref="W4:Z4"/>
    <mergeCell ref="O4:R4"/>
    <mergeCell ref="G4:J4"/>
    <mergeCell ref="AI4:AL4"/>
    <mergeCell ref="S4:V4"/>
    <mergeCell ref="K4:N4"/>
    <mergeCell ref="C4:F4"/>
  </mergeCells>
  <pageMargins left="0.25" right="0.25" top="0.75" bottom="0.75" header="0.3" footer="0.3"/>
  <pageSetup scale="5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87"/>
  <sheetViews>
    <sheetView tabSelected="1" zoomScale="130" zoomScaleNormal="130" workbookViewId="0">
      <pane xSplit="2" ySplit="5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A3" sqref="A3"/>
    </sheetView>
  </sheetViews>
  <sheetFormatPr defaultColWidth="9" defaultRowHeight="24" x14ac:dyDescent="0.55000000000000004"/>
  <cols>
    <col min="1" max="1" width="6.875" style="7" customWidth="1"/>
    <col min="2" max="2" width="15.5" style="14" bestFit="1" customWidth="1"/>
    <col min="3" max="3" width="27.25" style="7" bestFit="1" customWidth="1"/>
    <col min="4" max="4" width="26.5" style="7" customWidth="1"/>
    <col min="5" max="7" width="24.5" style="7" bestFit="1" customWidth="1"/>
    <col min="8" max="8" width="16.375" style="7" bestFit="1" customWidth="1"/>
    <col min="9" max="9" width="13.375" style="7" bestFit="1" customWidth="1"/>
    <col min="10" max="16384" width="9" style="7"/>
  </cols>
  <sheetData>
    <row r="1" spans="1:9" s="5" customFormat="1" ht="27.75" x14ac:dyDescent="0.65">
      <c r="A1" s="94" t="s">
        <v>137</v>
      </c>
      <c r="B1" s="94"/>
      <c r="C1" s="94"/>
      <c r="D1" s="94"/>
      <c r="E1" s="94"/>
      <c r="F1" s="94"/>
      <c r="G1" s="94"/>
      <c r="H1" s="94"/>
    </row>
    <row r="2" spans="1:9" s="5" customFormat="1" ht="27.75" x14ac:dyDescent="0.65">
      <c r="A2" s="94" t="s">
        <v>136</v>
      </c>
      <c r="B2" s="94"/>
      <c r="C2" s="94"/>
      <c r="D2" s="94"/>
      <c r="E2" s="94"/>
      <c r="F2" s="94"/>
      <c r="G2" s="94"/>
      <c r="H2" s="94"/>
    </row>
    <row r="3" spans="1:9" s="5" customFormat="1" x14ac:dyDescent="0.55000000000000004">
      <c r="A3" s="6"/>
      <c r="B3" s="6"/>
    </row>
    <row r="4" spans="1:9" ht="47.25" customHeight="1" x14ac:dyDescent="0.55000000000000004">
      <c r="A4" s="71" t="s">
        <v>0</v>
      </c>
      <c r="B4" s="71" t="s">
        <v>1</v>
      </c>
      <c r="C4" s="72" t="s">
        <v>109</v>
      </c>
      <c r="D4" s="73"/>
      <c r="E4" s="73"/>
      <c r="F4" s="73"/>
      <c r="G4" s="73"/>
      <c r="H4" s="74"/>
      <c r="I4" s="28"/>
    </row>
    <row r="5" spans="1:9" x14ac:dyDescent="0.55000000000000004">
      <c r="A5" s="71"/>
      <c r="B5" s="71"/>
      <c r="C5" s="29" t="s">
        <v>2</v>
      </c>
      <c r="D5" s="29" t="s">
        <v>111</v>
      </c>
      <c r="E5" s="29" t="s">
        <v>3</v>
      </c>
      <c r="F5" s="29" t="s">
        <v>117</v>
      </c>
      <c r="G5" s="29" t="s">
        <v>4</v>
      </c>
      <c r="H5" s="29" t="s">
        <v>118</v>
      </c>
      <c r="I5" s="28"/>
    </row>
    <row r="6" spans="1:9" x14ac:dyDescent="0.55000000000000004">
      <c r="A6" s="30" t="s">
        <v>82</v>
      </c>
      <c r="B6" s="65"/>
      <c r="C6" s="31">
        <f>SUM(C7:C82)</f>
        <v>1479106617.4000001</v>
      </c>
      <c r="D6" s="31">
        <f t="shared" ref="D6:G6" si="0">SUM(D7:D82)</f>
        <v>243930402.57000002</v>
      </c>
      <c r="E6" s="31">
        <f>SUM(E7:E82)</f>
        <v>578960345.06999993</v>
      </c>
      <c r="F6" s="31">
        <f>D6+E6</f>
        <v>822890747.63999999</v>
      </c>
      <c r="G6" s="31">
        <f t="shared" si="0"/>
        <v>656215869.75999999</v>
      </c>
      <c r="H6" s="31">
        <f>SUM(F6*100/C6)</f>
        <v>55.63430911332761</v>
      </c>
      <c r="I6" s="32"/>
    </row>
    <row r="7" spans="1:9" s="27" customFormat="1" x14ac:dyDescent="0.55000000000000004">
      <c r="A7" s="57">
        <v>1</v>
      </c>
      <c r="B7" s="58" t="s">
        <v>5</v>
      </c>
      <c r="C7" s="56">
        <f>SUM('1.งบบุคลากร'!C7+'2.งบดำเนินงาน'!O7+'3.งบลงทุน'!C7+'4.งบอุดหนุน'!C7+'5.งบรายจ่ายอื่น'!BC7)</f>
        <v>9377580</v>
      </c>
      <c r="D7" s="56">
        <f>SUM('1.งบบุคลากร'!D7+'2.งบดำเนินงาน'!P7+'3.งบลงทุน'!D7+'4.งบอุดหนุน'!D7+'5.งบรายจ่ายอื่น'!BD7)</f>
        <v>589583.32999999996</v>
      </c>
      <c r="E7" s="56">
        <f>SUM('1.งบบุคลากร'!E7+'2.งบดำเนินงาน'!Q7+'3.งบลงทุน'!E7+'4.งบอุดหนุน'!E7+'5.งบรายจ่ายอื่น'!BE7)</f>
        <v>4518305.6500000004</v>
      </c>
      <c r="F7" s="56">
        <f>D7+E7</f>
        <v>5107888.9800000004</v>
      </c>
      <c r="G7" s="56">
        <f>SUM('1.งบบุคลากร'!F7+'2.งบดำเนินงาน'!R7+'3.งบลงทุน'!F7+'4.งบอุดหนุน'!F7+'5.งบรายจ่ายอื่น'!BF7)</f>
        <v>4269691.0199999996</v>
      </c>
      <c r="H7" s="56">
        <f>SUM(F7*100/C7)</f>
        <v>54.469159207386134</v>
      </c>
      <c r="I7" s="55"/>
    </row>
    <row r="8" spans="1:9" s="27" customFormat="1" x14ac:dyDescent="0.55000000000000004">
      <c r="A8" s="57">
        <v>2</v>
      </c>
      <c r="B8" s="58" t="s">
        <v>6</v>
      </c>
      <c r="C8" s="56">
        <f>SUM('1.งบบุคลากร'!C8+'2.งบดำเนินงาน'!O8+'3.งบลงทุน'!C8+'4.งบอุดหนุน'!C8+'5.งบรายจ่ายอื่น'!BC8)</f>
        <v>7799280</v>
      </c>
      <c r="D8" s="56">
        <f>SUM('1.งบบุคลากร'!D8+'2.งบดำเนินงาน'!P8+'3.งบลงทุน'!D8+'4.งบอุดหนุน'!D8+'5.งบรายจ่ายอื่น'!BD8)</f>
        <v>0</v>
      </c>
      <c r="E8" s="56">
        <f>SUM('1.งบบุคลากร'!E8+'2.งบดำเนินงาน'!Q8+'3.งบลงทุน'!E8+'4.งบอุดหนุน'!E8+'5.งบรายจ่ายอื่น'!BE8)</f>
        <v>3004497.27</v>
      </c>
      <c r="F8" s="56">
        <f t="shared" ref="F8:F71" si="1">D8+E8</f>
        <v>3004497.27</v>
      </c>
      <c r="G8" s="56">
        <f>SUM('1.งบบุคลากร'!F8+'2.งบดำเนินงาน'!R8+'3.งบลงทุน'!F8+'4.งบอุดหนุน'!F8+'5.งบรายจ่ายอื่น'!BF8)</f>
        <v>4794782.7300000004</v>
      </c>
      <c r="H8" s="56">
        <f t="shared" ref="H8:H71" si="2">SUM(F8*100/C8)</f>
        <v>38.522751715542974</v>
      </c>
      <c r="I8" s="55"/>
    </row>
    <row r="9" spans="1:9" s="27" customFormat="1" x14ac:dyDescent="0.55000000000000004">
      <c r="A9" s="57">
        <v>3</v>
      </c>
      <c r="B9" s="58" t="s">
        <v>7</v>
      </c>
      <c r="C9" s="56">
        <f>SUM('1.งบบุคลากร'!C9+'2.งบดำเนินงาน'!O9+'3.งบลงทุน'!C9+'4.งบอุดหนุน'!C9+'5.งบรายจ่ายอื่น'!BC9)</f>
        <v>9008048</v>
      </c>
      <c r="D9" s="56">
        <f>SUM('1.งบบุคลากร'!D9+'2.งบดำเนินงาน'!P9+'3.งบลงทุน'!D9+'4.งบอุดหนุน'!D9+'5.งบรายจ่ายอื่น'!BD9)</f>
        <v>499780.8</v>
      </c>
      <c r="E9" s="56">
        <f>SUM('1.งบบุคลากร'!E9+'2.งบดำเนินงาน'!Q9+'3.งบลงทุน'!E9+'4.งบอุดหนุน'!E9+'5.งบรายจ่ายอื่น'!BE9)</f>
        <v>3049736.06</v>
      </c>
      <c r="F9" s="56">
        <f t="shared" si="1"/>
        <v>3549516.86</v>
      </c>
      <c r="G9" s="56">
        <f>SUM('1.งบบุคลากร'!F9+'2.งบดำเนินงาน'!R9+'3.งบลงทุน'!F9+'4.งบอุดหนุน'!F9+'5.งบรายจ่ายอื่น'!BF9)</f>
        <v>5458531.1400000006</v>
      </c>
      <c r="H9" s="56">
        <f t="shared" si="2"/>
        <v>39.403840432466609</v>
      </c>
      <c r="I9" s="55"/>
    </row>
    <row r="10" spans="1:9" s="27" customFormat="1" x14ac:dyDescent="0.55000000000000004">
      <c r="A10" s="57">
        <v>4</v>
      </c>
      <c r="B10" s="58" t="s">
        <v>8</v>
      </c>
      <c r="C10" s="56">
        <f>SUM('1.งบบุคลากร'!C10+'2.งบดำเนินงาน'!O10+'3.งบลงทุน'!C10+'4.งบอุดหนุน'!C10+'5.งบรายจ่ายอื่น'!BC10)</f>
        <v>73784798</v>
      </c>
      <c r="D10" s="56">
        <f>SUM('1.งบบุคลากร'!D10+'2.งบดำเนินงาน'!P10+'3.งบลงทุน'!D10+'4.งบอุดหนุน'!D10+'5.งบรายจ่ายอื่น'!BD10)</f>
        <v>60548549.780000001</v>
      </c>
      <c r="E10" s="56">
        <f>SUM('1.งบบุคลากร'!E10+'2.งบดำเนินงาน'!Q10+'3.งบลงทุน'!E10+'4.งบอุดหนุน'!E10+'5.งบรายจ่ายอื่น'!BE10)</f>
        <v>5779031.8399999999</v>
      </c>
      <c r="F10" s="56">
        <f t="shared" si="1"/>
        <v>66327581.620000005</v>
      </c>
      <c r="G10" s="56">
        <f>SUM('1.งบบุคลากร'!F10+'2.งบดำเนินงาน'!R10+'3.งบลงทุน'!F10+'4.งบอุดหนุน'!F10+'5.งบรายจ่ายอื่น'!BF10)</f>
        <v>7457216.3799999999</v>
      </c>
      <c r="H10" s="56">
        <f t="shared" si="2"/>
        <v>89.893288885875918</v>
      </c>
      <c r="I10" s="55"/>
    </row>
    <row r="11" spans="1:9" s="27" customFormat="1" x14ac:dyDescent="0.55000000000000004">
      <c r="A11" s="57">
        <v>5</v>
      </c>
      <c r="B11" s="58" t="s">
        <v>9</v>
      </c>
      <c r="C11" s="56">
        <f>SUM('1.งบบุคลากร'!C11+'2.งบดำเนินงาน'!O11+'3.งบลงทุน'!C11+'4.งบอุดหนุน'!C11+'5.งบรายจ่ายอื่น'!BC11)</f>
        <v>10193850</v>
      </c>
      <c r="D11" s="56">
        <f>SUM('1.งบบุคลากร'!D11+'2.งบดำเนินงาน'!P11+'3.งบลงทุน'!D11+'4.งบอุดหนุน'!D11+'5.งบรายจ่ายอื่น'!BD11)</f>
        <v>589517</v>
      </c>
      <c r="E11" s="56">
        <f>SUM('1.งบบุคลากร'!E11+'2.งบดำเนินงาน'!Q11+'3.งบลงทุน'!E11+'4.งบอุดหนุน'!E11+'5.งบรายจ่ายอื่น'!BE11)</f>
        <v>4955897.13</v>
      </c>
      <c r="F11" s="56">
        <f t="shared" si="1"/>
        <v>5545414.1299999999</v>
      </c>
      <c r="G11" s="56">
        <f>SUM('1.งบบุคลากร'!F11+'2.งบดำเนินงาน'!R11+'3.งบลงทุน'!F11+'4.งบอุดหนุน'!F11+'5.งบรายจ่ายอื่น'!BF11)</f>
        <v>4648435.87</v>
      </c>
      <c r="H11" s="56">
        <f t="shared" si="2"/>
        <v>54.399604957891277</v>
      </c>
      <c r="I11" s="55"/>
    </row>
    <row r="12" spans="1:9" s="27" customFormat="1" x14ac:dyDescent="0.55000000000000004">
      <c r="A12" s="57">
        <v>6</v>
      </c>
      <c r="B12" s="58" t="s">
        <v>10</v>
      </c>
      <c r="C12" s="56">
        <f>SUM('1.งบบุคลากร'!C12+'2.งบดำเนินงาน'!O12+'3.งบลงทุน'!C12+'4.งบอุดหนุน'!C12+'5.งบรายจ่ายอื่น'!BC12)</f>
        <v>9136490</v>
      </c>
      <c r="D12" s="56">
        <f>SUM('1.งบบุคลากร'!D12+'2.งบดำเนินงาน'!P12+'3.งบลงทุน'!D12+'4.งบอุดหนุน'!D12+'5.งบรายจ่ายอื่น'!BD12)</f>
        <v>495000</v>
      </c>
      <c r="E12" s="56">
        <f>SUM('1.งบบุคลากร'!E12+'2.งบดำเนินงาน'!Q12+'3.งบลงทุน'!E12+'4.งบอุดหนุน'!E12+'5.งบรายจ่ายอื่น'!BE12)</f>
        <v>3131601.49</v>
      </c>
      <c r="F12" s="56">
        <f t="shared" si="1"/>
        <v>3626601.49</v>
      </c>
      <c r="G12" s="56">
        <f>SUM('1.งบบุคลากร'!F12+'2.งบดำเนินงาน'!R12+'3.งบลงทุน'!F12+'4.งบอุดหนุน'!F12+'5.งบรายจ่ายอื่น'!BF12)</f>
        <v>5509888.5099999998</v>
      </c>
      <c r="H12" s="56">
        <f t="shared" si="2"/>
        <v>39.693596665677958</v>
      </c>
      <c r="I12" s="55"/>
    </row>
    <row r="13" spans="1:9" s="27" customFormat="1" x14ac:dyDescent="0.55000000000000004">
      <c r="A13" s="57">
        <v>7</v>
      </c>
      <c r="B13" s="58" t="s">
        <v>11</v>
      </c>
      <c r="C13" s="56">
        <f>SUM('1.งบบุคลากร'!C13+'2.งบดำเนินงาน'!O13+'3.งบลงทุน'!C13+'4.งบอุดหนุน'!C13+'5.งบรายจ่ายอื่น'!BC13)</f>
        <v>9970140</v>
      </c>
      <c r="D13" s="56">
        <f>SUM('1.งบบุคลากร'!D13+'2.งบดำเนินงาน'!P13+'3.งบลงทุน'!D13+'4.งบอุดหนุน'!D13+'5.งบรายจ่ายอื่น'!BD13)</f>
        <v>1951794</v>
      </c>
      <c r="E13" s="56">
        <f>SUM('1.งบบุคลากร'!E13+'2.งบดำเนินงาน'!Q13+'3.งบลงทุน'!E13+'4.งบอุดหนุน'!E13+'5.งบรายจ่ายอื่น'!BE13)</f>
        <v>4618227.63</v>
      </c>
      <c r="F13" s="56">
        <f t="shared" si="1"/>
        <v>6570021.6299999999</v>
      </c>
      <c r="G13" s="56">
        <f>SUM('1.งบบุคลากร'!F13+'2.งบดำเนินงาน'!R13+'3.งบลงทุน'!F13+'4.งบอุดหนุน'!F13+'5.งบรายจ่ายอื่น'!BF13)</f>
        <v>3400118.37</v>
      </c>
      <c r="H13" s="56">
        <f t="shared" si="2"/>
        <v>65.896984696303164</v>
      </c>
      <c r="I13" s="55"/>
    </row>
    <row r="14" spans="1:9" s="27" customFormat="1" x14ac:dyDescent="0.55000000000000004">
      <c r="A14" s="57">
        <v>8</v>
      </c>
      <c r="B14" s="58" t="s">
        <v>12</v>
      </c>
      <c r="C14" s="56">
        <f>SUM('1.งบบุคลากร'!C14+'2.งบดำเนินงาน'!O14+'3.งบลงทุน'!C14+'4.งบอุดหนุน'!C14+'5.งบรายจ่ายอื่น'!BC14)</f>
        <v>16569693</v>
      </c>
      <c r="D14" s="56">
        <f>SUM('1.งบบุคลากร'!D14+'2.งบดำเนินงาน'!P14+'3.งบลงทุน'!D14+'4.งบอุดหนุน'!D14+'5.งบรายจ่ายอื่น'!BD14)</f>
        <v>6807200</v>
      </c>
      <c r="E14" s="56">
        <f>SUM('1.งบบุคลากร'!E14+'2.งบดำเนินงาน'!Q14+'3.งบลงทุน'!E14+'4.งบอุดหนุน'!E14+'5.งบรายจ่ายอื่น'!BE14)</f>
        <v>5099333.74</v>
      </c>
      <c r="F14" s="56">
        <f t="shared" si="1"/>
        <v>11906533.74</v>
      </c>
      <c r="G14" s="56">
        <f>SUM('1.งบบุคลากร'!F14+'2.งบดำเนินงาน'!R14+'3.งบลงทุน'!F14+'4.งบอุดหนุน'!F14+'5.งบรายจ่ายอื่น'!BF14)</f>
        <v>4663159.26</v>
      </c>
      <c r="H14" s="56">
        <f t="shared" si="2"/>
        <v>71.857298382052093</v>
      </c>
      <c r="I14" s="55"/>
    </row>
    <row r="15" spans="1:9" s="27" customFormat="1" x14ac:dyDescent="0.55000000000000004">
      <c r="A15" s="57">
        <v>9</v>
      </c>
      <c r="B15" s="58" t="s">
        <v>13</v>
      </c>
      <c r="C15" s="56">
        <f>SUM('1.งบบุคลากร'!C15+'2.งบดำเนินงาน'!O15+'3.งบลงทุน'!C15+'4.งบอุดหนุน'!C15+'5.งบรายจ่ายอื่น'!BC15)</f>
        <v>10923087.4</v>
      </c>
      <c r="D15" s="56">
        <f>SUM('1.งบบุคลากร'!D15+'2.งบดำเนินงาน'!P15+'3.งบลงทุน'!D15+'4.งบอุดหนุน'!D15+'5.งบรายจ่ายอื่น'!BD15)</f>
        <v>1473900</v>
      </c>
      <c r="E15" s="56">
        <f>SUM('1.งบบุคลากร'!E15+'2.งบดำเนินงาน'!Q15+'3.งบลงทุน'!E15+'4.งบอุดหนุน'!E15+'5.งบรายจ่ายอื่น'!BE15)</f>
        <v>6169920.1699999999</v>
      </c>
      <c r="F15" s="56">
        <f t="shared" si="1"/>
        <v>7643820.1699999999</v>
      </c>
      <c r="G15" s="56">
        <f>SUM('1.งบบุคลากร'!F15+'2.งบดำเนินงาน'!R15+'3.งบลงทุน'!F15+'4.งบอุดหนุน'!F15+'5.งบรายจ่ายอื่น'!BF15)</f>
        <v>3279267.2300000004</v>
      </c>
      <c r="H15" s="56">
        <f t="shared" si="2"/>
        <v>69.978568238866231</v>
      </c>
      <c r="I15" s="55"/>
    </row>
    <row r="16" spans="1:9" s="27" customFormat="1" x14ac:dyDescent="0.55000000000000004">
      <c r="A16" s="57">
        <v>10</v>
      </c>
      <c r="B16" s="58" t="s">
        <v>14</v>
      </c>
      <c r="C16" s="56">
        <f>SUM('1.งบบุคลากร'!C16+'2.งบดำเนินงาน'!O16+'3.งบลงทุน'!C16+'4.งบอุดหนุน'!C16+'5.งบรายจ่ายอื่น'!BC16)</f>
        <v>9002360</v>
      </c>
      <c r="D16" s="56">
        <f>SUM('1.งบบุคลากร'!D16+'2.งบดำเนินงาน'!P16+'3.งบลงทุน'!D16+'4.งบอุดหนุน'!D16+'5.งบรายจ่ายอื่น'!BD16)</f>
        <v>1007547.5</v>
      </c>
      <c r="E16" s="56">
        <f>SUM('1.งบบุคลากร'!E16+'2.งบดำเนินงาน'!Q16+'3.งบลงทุน'!E16+'4.งบอุดหนุน'!E16+'5.งบรายจ่ายอื่น'!BE16)</f>
        <v>5124221.26</v>
      </c>
      <c r="F16" s="56">
        <f t="shared" si="1"/>
        <v>6131768.7599999998</v>
      </c>
      <c r="G16" s="56">
        <f>SUM('1.งบบุคลากร'!F16+'2.งบดำเนินงาน'!R16+'3.งบลงทุน'!F16+'4.งบอุดหนุน'!F16+'5.งบรายจ่ายอื่น'!BF16)</f>
        <v>2870591.24</v>
      </c>
      <c r="H16" s="56">
        <f t="shared" si="2"/>
        <v>68.11290328313909</v>
      </c>
      <c r="I16" s="55"/>
    </row>
    <row r="17" spans="1:9" s="27" customFormat="1" x14ac:dyDescent="0.55000000000000004">
      <c r="A17" s="57">
        <v>11</v>
      </c>
      <c r="B17" s="58" t="s">
        <v>15</v>
      </c>
      <c r="C17" s="56">
        <f>SUM('1.งบบุคลากร'!C17+'2.งบดำเนินงาน'!O17+'3.งบลงทุน'!C17+'4.งบอุดหนุน'!C17+'5.งบรายจ่ายอื่น'!BC17)</f>
        <v>18018134</v>
      </c>
      <c r="D17" s="56">
        <f>SUM('1.งบบุคลากร'!D17+'2.งบดำเนินงาน'!P17+'3.งบลงทุน'!D17+'4.งบอุดหนุน'!D17+'5.งบรายจ่ายอื่น'!BD17)</f>
        <v>1278000</v>
      </c>
      <c r="E17" s="56">
        <f>SUM('1.งบบุคลากร'!E17+'2.งบดำเนินงาน'!Q17+'3.งบลงทุน'!E17+'4.งบอุดหนุน'!E17+'5.งบรายจ่ายอื่น'!BE17)</f>
        <v>5494709.2199999997</v>
      </c>
      <c r="F17" s="56">
        <f t="shared" si="1"/>
        <v>6772709.2199999997</v>
      </c>
      <c r="G17" s="56">
        <f>SUM('1.งบบุคลากร'!F17+'2.งบดำเนินงาน'!R17+'3.งบลงทุน'!F17+'4.งบอุดหนุน'!F17+'5.งบรายจ่ายอื่น'!BF17)</f>
        <v>11245424.779999999</v>
      </c>
      <c r="H17" s="56">
        <f t="shared" si="2"/>
        <v>37.588294215150135</v>
      </c>
      <c r="I17" s="55"/>
    </row>
    <row r="18" spans="1:9" s="27" customFormat="1" x14ac:dyDescent="0.55000000000000004">
      <c r="A18" s="57">
        <v>12</v>
      </c>
      <c r="B18" s="58" t="s">
        <v>16</v>
      </c>
      <c r="C18" s="56">
        <f>SUM('1.งบบุคลากร'!C18+'2.งบดำเนินงาน'!O18+'3.งบลงทุน'!C18+'4.งบอุดหนุน'!C18+'5.งบรายจ่ายอื่น'!BC18)</f>
        <v>7852385</v>
      </c>
      <c r="D18" s="56">
        <f>SUM('1.งบบุคลากร'!D18+'2.งบดำเนินงาน'!P18+'3.งบลงทุน'!D18+'4.งบอุดหนุน'!D18+'5.งบรายจ่ายอื่น'!BD18)</f>
        <v>499799.5</v>
      </c>
      <c r="E18" s="56">
        <f>SUM('1.งบบุคลากร'!E18+'2.งบดำเนินงาน'!Q18+'3.งบลงทุน'!E18+'4.งบอุดหนุน'!E18+'5.งบรายจ่ายอื่น'!BE18)</f>
        <v>4406711.6500000004</v>
      </c>
      <c r="F18" s="56">
        <f t="shared" si="1"/>
        <v>4906511.1500000004</v>
      </c>
      <c r="G18" s="56">
        <f>SUM('1.งบบุคลากร'!F18+'2.งบดำเนินงาน'!R18+'3.งบลงทุน'!F18+'4.งบอุดหนุน'!F18+'5.งบรายจ่ายอื่น'!BF18)</f>
        <v>2945873.8499999996</v>
      </c>
      <c r="H18" s="56">
        <f t="shared" si="2"/>
        <v>62.48434265512963</v>
      </c>
      <c r="I18" s="55"/>
    </row>
    <row r="19" spans="1:9" s="27" customFormat="1" x14ac:dyDescent="0.55000000000000004">
      <c r="A19" s="57">
        <v>13</v>
      </c>
      <c r="B19" s="58" t="s">
        <v>17</v>
      </c>
      <c r="C19" s="56">
        <f>SUM('1.งบบุคลากร'!C19+'2.งบดำเนินงาน'!O19+'3.งบลงทุน'!C19+'4.งบอุดหนุน'!C19+'5.งบรายจ่ายอื่น'!BC19)</f>
        <v>8170880</v>
      </c>
      <c r="D19" s="56">
        <f>SUM('1.งบบุคลากร'!D19+'2.งบดำเนินงาน'!P19+'3.งบลงทุน'!D19+'4.งบอุดหนุน'!D19+'5.งบรายจ่ายอื่น'!BD19)</f>
        <v>544000</v>
      </c>
      <c r="E19" s="56">
        <f>SUM('1.งบบุคลากร'!E19+'2.งบดำเนินงาน'!Q19+'3.งบลงทุน'!E19+'4.งบอุดหนุน'!E19+'5.งบรายจ่ายอื่น'!BE19)</f>
        <v>3894399.51</v>
      </c>
      <c r="F19" s="56">
        <f t="shared" si="1"/>
        <v>4438399.51</v>
      </c>
      <c r="G19" s="56">
        <f>SUM('1.งบบุคลากร'!F19+'2.งบดำเนินงาน'!R19+'3.งบลงทุน'!F19+'4.งบอุดหนุน'!F19+'5.งบรายจ่ายอื่น'!BF19)</f>
        <v>3732480.49</v>
      </c>
      <c r="H19" s="56">
        <f t="shared" si="2"/>
        <v>54.319724558431894</v>
      </c>
      <c r="I19" s="55"/>
    </row>
    <row r="20" spans="1:9" s="27" customFormat="1" x14ac:dyDescent="0.55000000000000004">
      <c r="A20" s="57">
        <v>14</v>
      </c>
      <c r="B20" s="58" t="s">
        <v>18</v>
      </c>
      <c r="C20" s="56">
        <f>SUM('1.งบบุคลากร'!C20+'2.งบดำเนินงาน'!O20+'3.งบลงทุน'!C20+'4.งบอุดหนุน'!C20+'5.งบรายจ่ายอื่น'!BC20)</f>
        <v>10830595</v>
      </c>
      <c r="D20" s="56">
        <f>SUM('1.งบบุคลากร'!D20+'2.งบดำเนินงาน'!P20+'3.งบลงทุน'!D20+'4.งบอุดหนุน'!D20+'5.งบรายจ่ายอื่น'!BD20)</f>
        <v>1133906</v>
      </c>
      <c r="E20" s="56">
        <f>SUM('1.งบบุคลากร'!E20+'2.งบดำเนินงาน'!Q20+'3.งบลงทุน'!E20+'4.งบอุดหนุน'!E20+'5.งบรายจ่ายอื่น'!BE20)</f>
        <v>3426375.82</v>
      </c>
      <c r="F20" s="56">
        <f t="shared" si="1"/>
        <v>4560281.82</v>
      </c>
      <c r="G20" s="56">
        <f>SUM('1.งบบุคลากร'!F20+'2.งบดำเนินงาน'!R20+'3.งบลงทุน'!F20+'4.งบอุดหนุน'!F20+'5.งบรายจ่ายอื่น'!BF20)</f>
        <v>6270313.1799999997</v>
      </c>
      <c r="H20" s="56">
        <f t="shared" si="2"/>
        <v>42.105552095706656</v>
      </c>
      <c r="I20" s="55"/>
    </row>
    <row r="21" spans="1:9" s="27" customFormat="1" x14ac:dyDescent="0.55000000000000004">
      <c r="A21" s="57">
        <v>15</v>
      </c>
      <c r="B21" s="58" t="s">
        <v>19</v>
      </c>
      <c r="C21" s="56">
        <f>SUM('1.งบบุคลากร'!C21+'2.งบดำเนินงาน'!O21+'3.งบลงทุน'!C21+'4.งบอุดหนุน'!C21+'5.งบรายจ่ายอื่น'!BC21)</f>
        <v>29303694</v>
      </c>
      <c r="D21" s="56">
        <f>SUM('1.งบบุคลากร'!D21+'2.งบดำเนินงาน'!P21+'3.งบลงทุน'!D21+'4.งบอุดหนุน'!D21+'5.งบรายจ่ายอื่น'!BD21)</f>
        <v>0</v>
      </c>
      <c r="E21" s="56">
        <f>SUM('1.งบบุคลากร'!E21+'2.งบดำเนินงาน'!Q21+'3.งบลงทุน'!E21+'4.งบอุดหนุน'!E21+'5.งบรายจ่ายอื่น'!BE21)</f>
        <v>5525980.7199999997</v>
      </c>
      <c r="F21" s="56">
        <f t="shared" si="1"/>
        <v>5525980.7199999997</v>
      </c>
      <c r="G21" s="56">
        <f>SUM('1.งบบุคลากร'!F21+'2.งบดำเนินงาน'!R21+'3.งบลงทุน'!F21+'4.งบอุดหนุน'!F21+'5.งบรายจ่ายอื่น'!BF21)</f>
        <v>23777713.279999997</v>
      </c>
      <c r="H21" s="56">
        <f t="shared" si="2"/>
        <v>18.857624980659434</v>
      </c>
      <c r="I21" s="55"/>
    </row>
    <row r="22" spans="1:9" s="27" customFormat="1" x14ac:dyDescent="0.55000000000000004">
      <c r="A22" s="57">
        <v>16</v>
      </c>
      <c r="B22" s="58" t="s">
        <v>20</v>
      </c>
      <c r="C22" s="56">
        <f>SUM('1.งบบุคลากร'!C22+'2.งบดำเนินงาน'!O22+'3.งบลงทุน'!C22+'4.งบอุดหนุน'!C22+'5.งบรายจ่ายอื่น'!BC22)</f>
        <v>38313884</v>
      </c>
      <c r="D22" s="56">
        <f>SUM('1.งบบุคลากร'!D22+'2.งบดำเนินงาน'!P22+'3.งบลงทุน'!D22+'4.งบอุดหนุน'!D22+'5.งบรายจ่ายอื่น'!BD22)</f>
        <v>30146500</v>
      </c>
      <c r="E22" s="56">
        <f>SUM('1.งบบุคลากร'!E22+'2.งบดำเนินงาน'!Q22+'3.งบลงทุน'!E22+'4.งบอุดหนุน'!E22+'5.งบรายจ่ายอื่น'!BE22)</f>
        <v>4428468.67</v>
      </c>
      <c r="F22" s="56">
        <f t="shared" si="1"/>
        <v>34574968.670000002</v>
      </c>
      <c r="G22" s="56">
        <f>SUM('1.งบบุคลากร'!F22+'2.งบดำเนินงาน'!R22+'3.งบลงทุน'!F22+'4.งบอุดหนุน'!F22+'5.งบรายจ่ายอื่น'!BF22)</f>
        <v>3738915.33</v>
      </c>
      <c r="H22" s="56">
        <f t="shared" si="2"/>
        <v>90.241356553671253</v>
      </c>
      <c r="I22" s="55"/>
    </row>
    <row r="23" spans="1:9" s="27" customFormat="1" x14ac:dyDescent="0.55000000000000004">
      <c r="A23" s="57">
        <v>17</v>
      </c>
      <c r="B23" s="58" t="s">
        <v>21</v>
      </c>
      <c r="C23" s="56">
        <f>SUM('1.งบบุคลากร'!C23+'2.งบดำเนินงาน'!O23+'3.งบลงทุน'!C23+'4.งบอุดหนุน'!C23+'5.งบรายจ่ายอื่น'!BC23)</f>
        <v>11036910</v>
      </c>
      <c r="D23" s="56">
        <f>SUM('1.งบบุคลากร'!D23+'2.งบดำเนินงาน'!P23+'3.งบลงทุน'!D23+'4.งบอุดหนุน'!D23+'5.งบรายจ่ายอื่น'!BD23)</f>
        <v>305000</v>
      </c>
      <c r="E23" s="56">
        <f>SUM('1.งบบุคลากร'!E23+'2.งบดำเนินงาน'!Q23+'3.งบลงทุน'!E23+'4.งบอุดหนุน'!E23+'5.งบรายจ่ายอื่น'!BE23)</f>
        <v>5598034.75</v>
      </c>
      <c r="F23" s="56">
        <f t="shared" si="1"/>
        <v>5903034.75</v>
      </c>
      <c r="G23" s="56">
        <f>SUM('1.งบบุคลากร'!F23+'2.งบดำเนินงาน'!R23+'3.งบลงทุน'!F23+'4.งบอุดหนุน'!F23+'5.งบรายจ่ายอื่น'!BF23)</f>
        <v>5133875.25</v>
      </c>
      <c r="H23" s="56">
        <f t="shared" si="2"/>
        <v>53.484487506013913</v>
      </c>
      <c r="I23" s="55"/>
    </row>
    <row r="24" spans="1:9" s="27" customFormat="1" x14ac:dyDescent="0.55000000000000004">
      <c r="A24" s="57">
        <v>18</v>
      </c>
      <c r="B24" s="58" t="s">
        <v>22</v>
      </c>
      <c r="C24" s="56">
        <f>SUM('1.งบบุคลากร'!C24+'2.งบดำเนินงาน'!O24+'3.งบลงทุน'!C24+'4.งบอุดหนุน'!C24+'5.งบรายจ่ายอื่น'!BC24)</f>
        <v>30357463</v>
      </c>
      <c r="D24" s="56">
        <f>SUM('1.งบบุคลากร'!D24+'2.งบดำเนินงาน'!P24+'3.งบลงทุน'!D24+'4.งบอุดหนุน'!D24+'5.งบรายจ่ายอื่น'!BD24)</f>
        <v>3913420</v>
      </c>
      <c r="E24" s="56">
        <f>SUM('1.งบบุคลากร'!E24+'2.งบดำเนินงาน'!Q24+'3.งบลงทุน'!E24+'4.งบอุดหนุน'!E24+'5.งบรายจ่ายอื่น'!BE24)</f>
        <v>3290963.85</v>
      </c>
      <c r="F24" s="56">
        <f t="shared" si="1"/>
        <v>7204383.8499999996</v>
      </c>
      <c r="G24" s="56">
        <f>SUM('1.งบบุคลากร'!F24+'2.งบดำเนินงาน'!R24+'3.งบลงทุน'!F24+'4.งบอุดหนุน'!F24+'5.งบรายจ่ายอื่น'!BF24)</f>
        <v>23153079.150000002</v>
      </c>
      <c r="H24" s="56">
        <f t="shared" si="2"/>
        <v>23.731837703302151</v>
      </c>
      <c r="I24" s="55"/>
    </row>
    <row r="25" spans="1:9" s="27" customFormat="1" x14ac:dyDescent="0.55000000000000004">
      <c r="A25" s="57">
        <v>19</v>
      </c>
      <c r="B25" s="58" t="s">
        <v>23</v>
      </c>
      <c r="C25" s="56">
        <f>SUM('1.งบบุคลากร'!C25+'2.งบดำเนินงาน'!O25+'3.งบลงทุน'!C25+'4.งบอุดหนุน'!C25+'5.งบรายจ่ายอื่น'!BC25)</f>
        <v>13268025</v>
      </c>
      <c r="D25" s="56">
        <f>SUM('1.งบบุคลากร'!D25+'2.งบดำเนินงาน'!P25+'3.งบลงทุน'!D25+'4.งบอุดหนุน'!D25+'5.งบรายจ่ายอื่น'!BD25)</f>
        <v>1493720</v>
      </c>
      <c r="E25" s="56">
        <f>SUM('1.งบบุคลากร'!E25+'2.งบดำเนินงาน'!Q25+'3.งบลงทุน'!E25+'4.งบอุดหนุน'!E25+'5.งบรายจ่ายอื่น'!BE25)</f>
        <v>5772859.290000001</v>
      </c>
      <c r="F25" s="56">
        <f t="shared" si="1"/>
        <v>7266579.290000001</v>
      </c>
      <c r="G25" s="56">
        <f>SUM('1.งบบุคลากร'!F25+'2.งบดำเนินงาน'!R25+'3.งบลงทุน'!F25+'4.งบอุดหนุน'!F25+'5.งบรายจ่ายอื่น'!BF25)</f>
        <v>6001445.71</v>
      </c>
      <c r="H25" s="56">
        <f t="shared" si="2"/>
        <v>54.76760324162791</v>
      </c>
      <c r="I25" s="55"/>
    </row>
    <row r="26" spans="1:9" s="27" customFormat="1" x14ac:dyDescent="0.55000000000000004">
      <c r="A26" s="57">
        <v>20</v>
      </c>
      <c r="B26" s="58" t="s">
        <v>24</v>
      </c>
      <c r="C26" s="56">
        <f>SUM('1.งบบุคลากร'!C26+'2.งบดำเนินงาน'!O26+'3.งบลงทุน'!C26+'4.งบอุดหนุน'!C26+'5.งบรายจ่ายอื่น'!BC26)</f>
        <v>101173462</v>
      </c>
      <c r="D26" s="56">
        <f>SUM('1.งบบุคลากร'!D26+'2.งบดำเนินงาน'!P26+'3.งบลงทุน'!D26+'4.งบอุดหนุน'!D26+'5.งบรายจ่ายอื่น'!BD26)</f>
        <v>966040</v>
      </c>
      <c r="E26" s="56">
        <f>SUM('1.งบบุคลากร'!E26+'2.งบดำเนินงาน'!Q26+'3.งบลงทุน'!E26+'4.งบอุดหนุน'!E26+'5.งบรายจ่ายอื่น'!BE26)</f>
        <v>69104593.539999992</v>
      </c>
      <c r="F26" s="56">
        <f t="shared" si="1"/>
        <v>70070633.539999992</v>
      </c>
      <c r="G26" s="56">
        <f>SUM('1.งบบุคลากร'!F26+'2.งบดำเนินงาน'!R26+'3.งบลงทุน'!F26+'4.งบอุดหนุน'!F26+'5.งบรายจ่ายอื่น'!BF26)</f>
        <v>31102828.459999997</v>
      </c>
      <c r="H26" s="56">
        <f t="shared" si="2"/>
        <v>69.257918188071883</v>
      </c>
      <c r="I26" s="55"/>
    </row>
    <row r="27" spans="1:9" s="27" customFormat="1" x14ac:dyDescent="0.55000000000000004">
      <c r="A27" s="57">
        <v>21</v>
      </c>
      <c r="B27" s="58" t="s">
        <v>25</v>
      </c>
      <c r="C27" s="56">
        <f>SUM('1.งบบุคลากร'!C27+'2.งบดำเนินงาน'!O27+'3.งบลงทุน'!C27+'4.งบอุดหนุน'!C27+'5.งบรายจ่ายอื่น'!BC27)</f>
        <v>9411536</v>
      </c>
      <c r="D27" s="56">
        <f>SUM('1.งบบุคลากร'!D27+'2.งบดำเนินงาน'!P27+'3.งบลงทุน'!D27+'4.งบอุดหนุน'!D27+'5.งบรายจ่ายอื่น'!BD27)</f>
        <v>531525</v>
      </c>
      <c r="E27" s="56">
        <f>SUM('1.งบบุคลากร'!E27+'2.งบดำเนินงาน'!Q27+'3.งบลงทุน'!E27+'4.งบอุดหนุน'!E27+'5.งบรายจ่ายอื่น'!BE27)</f>
        <v>4360148.62</v>
      </c>
      <c r="F27" s="56">
        <f t="shared" si="1"/>
        <v>4891673.62</v>
      </c>
      <c r="G27" s="56">
        <f>SUM('1.งบบุคลากร'!F27+'2.งบดำเนินงาน'!R27+'3.งบลงทุน'!F27+'4.งบอุดหนุน'!F27+'5.งบรายจ่ายอื่น'!BF27)</f>
        <v>4519862.38</v>
      </c>
      <c r="H27" s="56">
        <f t="shared" si="2"/>
        <v>51.975295212173656</v>
      </c>
      <c r="I27" s="55"/>
    </row>
    <row r="28" spans="1:9" s="27" customFormat="1" x14ac:dyDescent="0.55000000000000004">
      <c r="A28" s="57">
        <v>22</v>
      </c>
      <c r="B28" s="58" t="s">
        <v>26</v>
      </c>
      <c r="C28" s="56">
        <f>SUM('1.งบบุคลากร'!C28+'2.งบดำเนินงาน'!O28+'3.งบลงทุน'!C28+'4.งบอุดหนุน'!C28+'5.งบรายจ่ายอื่น'!BC28)</f>
        <v>10111427</v>
      </c>
      <c r="D28" s="56">
        <f>SUM('1.งบบุคลากร'!D28+'2.งบดำเนินงาน'!P28+'3.งบลงทุน'!D28+'4.งบอุดหนุน'!D28+'5.งบรายจ่ายอื่น'!BD28)</f>
        <v>0</v>
      </c>
      <c r="E28" s="56">
        <f>SUM('1.งบบุคลากร'!E28+'2.งบดำเนินงาน'!Q28+'3.งบลงทุน'!E28+'4.งบอุดหนุน'!E28+'5.งบรายจ่ายอื่น'!BE28)</f>
        <v>6342793.9199999999</v>
      </c>
      <c r="F28" s="56">
        <f t="shared" si="1"/>
        <v>6342793.9199999999</v>
      </c>
      <c r="G28" s="56">
        <f>SUM('1.งบบุคลากร'!F28+'2.งบดำเนินงาน'!R28+'3.งบลงทุน'!F28+'4.งบอุดหนุน'!F28+'5.งบรายจ่ายอื่น'!BF28)</f>
        <v>3768633.08</v>
      </c>
      <c r="H28" s="56">
        <f t="shared" si="2"/>
        <v>62.72896911583301</v>
      </c>
      <c r="I28" s="55"/>
    </row>
    <row r="29" spans="1:9" s="27" customFormat="1" x14ac:dyDescent="0.55000000000000004">
      <c r="A29" s="57">
        <v>23</v>
      </c>
      <c r="B29" s="58" t="s">
        <v>27</v>
      </c>
      <c r="C29" s="56">
        <f>SUM('1.งบบุคลากร'!C29+'2.งบดำเนินงาน'!O29+'3.งบลงทุน'!C29+'4.งบอุดหนุน'!C29+'5.งบรายจ่ายอื่น'!BC29)</f>
        <v>16697470</v>
      </c>
      <c r="D29" s="56">
        <f>SUM('1.งบบุคลากร'!D29+'2.งบดำเนินงาน'!P29+'3.งบลงทุน'!D29+'4.งบอุดหนุน'!D29+'5.งบรายจ่ายอื่น'!BD29)</f>
        <v>3803218</v>
      </c>
      <c r="E29" s="56">
        <f>SUM('1.งบบุคลากร'!E29+'2.งบดำเนินงาน'!Q29+'3.งบลงทุน'!E29+'4.งบอุดหนุน'!E29+'5.งบรายจ่ายอื่น'!BE29)</f>
        <v>4809569.3600000003</v>
      </c>
      <c r="F29" s="56">
        <f t="shared" si="1"/>
        <v>8612787.3599999994</v>
      </c>
      <c r="G29" s="56">
        <f>SUM('1.งบบุคลากร'!F29+'2.งบดำเนินงาน'!R29+'3.งบลงทุน'!F29+'4.งบอุดหนุน'!F29+'5.งบรายจ่ายอื่น'!BF29)</f>
        <v>8084682.6400000006</v>
      </c>
      <c r="H29" s="56">
        <f t="shared" si="2"/>
        <v>51.581391432354721</v>
      </c>
      <c r="I29" s="55"/>
    </row>
    <row r="30" spans="1:9" s="27" customFormat="1" x14ac:dyDescent="0.55000000000000004">
      <c r="A30" s="57">
        <v>24</v>
      </c>
      <c r="B30" s="58" t="s">
        <v>28</v>
      </c>
      <c r="C30" s="56">
        <f>SUM('1.งบบุคลากร'!C30+'2.งบดำเนินงาน'!O30+'3.งบลงทุน'!C30+'4.งบอุดหนุน'!C30+'5.งบรายจ่ายอื่น'!BC30)</f>
        <v>8810393</v>
      </c>
      <c r="D30" s="56">
        <f>SUM('1.งบบุคลากร'!D30+'2.งบดำเนินงาน'!P30+'3.งบลงทุน'!D30+'4.งบอุดหนุน'!D30+'5.งบรายจ่ายอื่น'!BD30)</f>
        <v>420852</v>
      </c>
      <c r="E30" s="56">
        <f>SUM('1.งบบุคลากร'!E30+'2.งบดำเนินงาน'!Q30+'3.งบลงทุน'!E30+'4.งบอุดหนุน'!E30+'5.งบรายจ่ายอื่น'!BE30)</f>
        <v>4887312.18</v>
      </c>
      <c r="F30" s="56">
        <f t="shared" si="1"/>
        <v>5308164.18</v>
      </c>
      <c r="G30" s="56">
        <f>SUM('1.งบบุคลากร'!F30+'2.งบดำเนินงาน'!R30+'3.งบลงทุน'!F30+'4.งบอุดหนุน'!F30+'5.งบรายจ่ายอื่น'!BF30)</f>
        <v>3502228.8200000003</v>
      </c>
      <c r="H30" s="56">
        <f t="shared" si="2"/>
        <v>60.24889218903175</v>
      </c>
      <c r="I30" s="55"/>
    </row>
    <row r="31" spans="1:9" s="27" customFormat="1" x14ac:dyDescent="0.55000000000000004">
      <c r="A31" s="57">
        <v>25</v>
      </c>
      <c r="B31" s="58" t="s">
        <v>29</v>
      </c>
      <c r="C31" s="56">
        <f>SUM('1.งบบุคลากร'!C31+'2.งบดำเนินงาน'!O31+'3.งบลงทุน'!C31+'4.งบอุดหนุน'!C31+'5.งบรายจ่ายอื่น'!BC31)</f>
        <v>10044663</v>
      </c>
      <c r="D31" s="56">
        <f>SUM('1.งบบุคลากร'!D31+'2.งบดำเนินงาน'!P31+'3.งบลงทุน'!D31+'4.งบอุดหนุน'!D31+'5.งบรายจ่ายอื่น'!BD31)</f>
        <v>2078500</v>
      </c>
      <c r="E31" s="56">
        <f>SUM('1.งบบุคลากร'!E31+'2.งบดำเนินงาน'!Q31+'3.งบลงทุน'!E31+'4.งบอุดหนุน'!E31+'5.งบรายจ่ายอื่น'!BE31)</f>
        <v>5400354.0299999993</v>
      </c>
      <c r="F31" s="56">
        <f t="shared" si="1"/>
        <v>7478854.0299999993</v>
      </c>
      <c r="G31" s="56">
        <f>SUM('1.งบบุคลากร'!F31+'2.งบดำเนินงาน'!R31+'3.งบลงทุน'!F31+'4.งบอุดหนุน'!F31+'5.งบรายจ่ายอื่น'!BF31)</f>
        <v>2565808.9700000002</v>
      </c>
      <c r="H31" s="56">
        <f t="shared" si="2"/>
        <v>74.455997478461938</v>
      </c>
      <c r="I31" s="55"/>
    </row>
    <row r="32" spans="1:9" s="27" customFormat="1" x14ac:dyDescent="0.55000000000000004">
      <c r="A32" s="57">
        <v>26</v>
      </c>
      <c r="B32" s="58" t="s">
        <v>30</v>
      </c>
      <c r="C32" s="56">
        <f>SUM('1.งบบุคลากร'!C32+'2.งบดำเนินงาน'!O32+'3.งบลงทุน'!C32+'4.งบอุดหนุน'!C32+'5.งบรายจ่ายอื่น'!BC32)</f>
        <v>10424408</v>
      </c>
      <c r="D32" s="56">
        <f>SUM('1.งบบุคลากร'!D32+'2.งบดำเนินงาน'!P32+'3.งบลงทุน'!D32+'4.งบอุดหนุน'!D32+'5.งบรายจ่ายอื่น'!BD32)</f>
        <v>393000</v>
      </c>
      <c r="E32" s="56">
        <f>SUM('1.งบบุคลากร'!E32+'2.งบดำเนินงาน'!Q32+'3.งบลงทุน'!E32+'4.งบอุดหนุน'!E32+'5.งบรายจ่ายอื่น'!BE32)</f>
        <v>5722869.8200000003</v>
      </c>
      <c r="F32" s="56">
        <f t="shared" si="1"/>
        <v>6115869.8200000003</v>
      </c>
      <c r="G32" s="56">
        <f>SUM('1.งบบุคลากร'!F32+'2.งบดำเนินงาน'!R32+'3.งบลงทุน'!F32+'4.งบอุดหนุน'!F32+'5.งบรายจ่ายอื่น'!BF32)</f>
        <v>4308538.18</v>
      </c>
      <c r="H32" s="56">
        <f t="shared" si="2"/>
        <v>58.668749534745764</v>
      </c>
      <c r="I32" s="55"/>
    </row>
    <row r="33" spans="1:9" s="27" customFormat="1" x14ac:dyDescent="0.55000000000000004">
      <c r="A33" s="57">
        <v>27</v>
      </c>
      <c r="B33" s="58" t="s">
        <v>31</v>
      </c>
      <c r="C33" s="56">
        <f>SUM('1.งบบุคลากร'!C33+'2.งบดำเนินงาน'!O33+'3.งบลงทุน'!C33+'4.งบอุดหนุน'!C33+'5.งบรายจ่ายอื่น'!BC33)</f>
        <v>11070892</v>
      </c>
      <c r="D33" s="56">
        <f>SUM('1.งบบุคลากร'!D33+'2.งบดำเนินงาน'!P33+'3.งบลงทุน'!D33+'4.งบอุดหนุน'!D33+'5.งบรายจ่ายอื่น'!BD33)</f>
        <v>2165528</v>
      </c>
      <c r="E33" s="56">
        <f>SUM('1.งบบุคลากร'!E33+'2.งบดำเนินงาน'!Q33+'3.งบลงทุน'!E33+'4.งบอุดหนุน'!E33+'5.งบรายจ่ายอื่น'!BE33)</f>
        <v>4741496.55</v>
      </c>
      <c r="F33" s="56">
        <f t="shared" si="1"/>
        <v>6907024.5499999998</v>
      </c>
      <c r="G33" s="56">
        <f>SUM('1.งบบุคลากร'!F33+'2.งบดำเนินงาน'!R33+'3.งบลงทุน'!F33+'4.งบอุดหนุน'!F33+'5.งบรายจ่ายอื่น'!BF33)</f>
        <v>4163867.45</v>
      </c>
      <c r="H33" s="56">
        <f t="shared" si="2"/>
        <v>62.389051848757987</v>
      </c>
      <c r="I33" s="55"/>
    </row>
    <row r="34" spans="1:9" s="27" customFormat="1" x14ac:dyDescent="0.55000000000000004">
      <c r="A34" s="57">
        <v>28</v>
      </c>
      <c r="B34" s="58" t="s">
        <v>32</v>
      </c>
      <c r="C34" s="56">
        <f>SUM('1.งบบุคลากร'!C34+'2.งบดำเนินงาน'!O34+'3.งบลงทุน'!C34+'4.งบอุดหนุน'!C34+'5.งบรายจ่ายอื่น'!BC34)</f>
        <v>11024110</v>
      </c>
      <c r="D34" s="56">
        <f>SUM('1.งบบุคลากร'!D34+'2.งบดำเนินงาน'!P34+'3.งบลงทุน'!D34+'4.งบอุดหนุน'!D34+'5.งบรายจ่ายอื่น'!BD34)</f>
        <v>0</v>
      </c>
      <c r="E34" s="56">
        <f>SUM('1.งบบุคลากร'!E34+'2.งบดำเนินงาน'!Q34+'3.งบลงทุน'!E34+'4.งบอุดหนุน'!E34+'5.งบรายจ่ายอื่น'!BE34)</f>
        <v>4223973.26</v>
      </c>
      <c r="F34" s="56">
        <f t="shared" si="1"/>
        <v>4223973.26</v>
      </c>
      <c r="G34" s="56">
        <f>SUM('1.งบบุคลากร'!F34+'2.งบดำเนินงาน'!R34+'3.งบลงทุน'!F34+'4.งบอุดหนุน'!F34+'5.งบรายจ่ายอื่น'!BF34)</f>
        <v>6800136.7400000002</v>
      </c>
      <c r="H34" s="56">
        <f t="shared" si="2"/>
        <v>38.315775695271547</v>
      </c>
      <c r="I34" s="55"/>
    </row>
    <row r="35" spans="1:9" s="27" customFormat="1" x14ac:dyDescent="0.55000000000000004">
      <c r="A35" s="57">
        <v>29</v>
      </c>
      <c r="B35" s="58" t="s">
        <v>33</v>
      </c>
      <c r="C35" s="56">
        <f>SUM('1.งบบุคลากร'!C35+'2.งบดำเนินงาน'!O35+'3.งบลงทุน'!C35+'4.งบอุดหนุน'!C35+'5.งบรายจ่ายอื่น'!BC35)</f>
        <v>15850351</v>
      </c>
      <c r="D35" s="56">
        <f>SUM('1.งบบุคลากร'!D35+'2.งบดำเนินงาน'!P35+'3.งบลงทุน'!D35+'4.งบอุดหนุน'!D35+'5.งบรายจ่ายอื่น'!BD35)</f>
        <v>30000</v>
      </c>
      <c r="E35" s="56">
        <f>SUM('1.งบบุคลากร'!E35+'2.งบดำเนินงาน'!Q35+'3.งบลงทุน'!E35+'4.งบอุดหนุน'!E35+'5.งบรายจ่ายอื่น'!BE35)</f>
        <v>3138537.55</v>
      </c>
      <c r="F35" s="56">
        <f t="shared" si="1"/>
        <v>3168537.55</v>
      </c>
      <c r="G35" s="56">
        <f>SUM('1.งบบุคลากร'!F35+'2.งบดำเนินงาน'!R35+'3.งบลงทุน'!F35+'4.งบอุดหนุน'!F35+'5.งบรายจ่ายอื่น'!BF35)</f>
        <v>12681813.449999999</v>
      </c>
      <c r="H35" s="56">
        <f t="shared" si="2"/>
        <v>19.990330498043861</v>
      </c>
      <c r="I35" s="55"/>
    </row>
    <row r="36" spans="1:9" s="27" customFormat="1" x14ac:dyDescent="0.55000000000000004">
      <c r="A36" s="57">
        <v>30</v>
      </c>
      <c r="B36" s="58" t="s">
        <v>34</v>
      </c>
      <c r="C36" s="56">
        <f>SUM('1.งบบุคลากร'!C36+'2.งบดำเนินงาน'!O36+'3.งบลงทุน'!C36+'4.งบอุดหนุน'!C36+'5.งบรายจ่ายอื่น'!BC36)</f>
        <v>19977768</v>
      </c>
      <c r="D36" s="56">
        <f>SUM('1.งบบุคลากร'!D36+'2.งบดำเนินงาน'!P36+'3.งบลงทุน'!D36+'4.งบอุดหนุน'!D36+'5.งบรายจ่ายอื่น'!BD36)</f>
        <v>0</v>
      </c>
      <c r="E36" s="56">
        <f>SUM('1.งบบุคลากร'!E36+'2.งบดำเนินงาน'!Q36+'3.งบลงทุน'!E36+'4.งบอุดหนุน'!E36+'5.งบรายจ่ายอื่น'!BE36)</f>
        <v>4910355.0600000005</v>
      </c>
      <c r="F36" s="56">
        <f t="shared" si="1"/>
        <v>4910355.0600000005</v>
      </c>
      <c r="G36" s="56">
        <f>SUM('1.งบบุคลากร'!F36+'2.งบดำเนินงาน'!R36+'3.งบลงทุน'!F36+'4.งบอุดหนุน'!F36+'5.งบรายจ่ายอื่น'!BF36)</f>
        <v>15067412.939999999</v>
      </c>
      <c r="H36" s="56">
        <f t="shared" si="2"/>
        <v>24.579097424697295</v>
      </c>
      <c r="I36" s="55"/>
    </row>
    <row r="37" spans="1:9" s="27" customFormat="1" x14ac:dyDescent="0.55000000000000004">
      <c r="A37" s="57">
        <v>31</v>
      </c>
      <c r="B37" s="58" t="s">
        <v>35</v>
      </c>
      <c r="C37" s="56">
        <f>SUM('1.งบบุคลากร'!C37+'2.งบดำเนินงาน'!O37+'3.งบลงทุน'!C37+'4.งบอุดหนุน'!C37+'5.งบรายจ่ายอื่น'!BC37)</f>
        <v>9103986</v>
      </c>
      <c r="D37" s="56">
        <f>SUM('1.งบบุคลากร'!D37+'2.งบดำเนินงาน'!P37+'3.งบลงทุน'!D37+'4.งบอุดหนุน'!D37+'5.งบรายจ่ายอื่น'!BD37)</f>
        <v>997800</v>
      </c>
      <c r="E37" s="56">
        <f>SUM('1.งบบุคลากร'!E37+'2.งบดำเนินงาน'!Q37+'3.งบลงทุน'!E37+'4.งบอุดหนุน'!E37+'5.งบรายจ่ายอื่น'!BE37)</f>
        <v>4876449.0199999996</v>
      </c>
      <c r="F37" s="56">
        <f t="shared" si="1"/>
        <v>5874249.0199999996</v>
      </c>
      <c r="G37" s="56">
        <f>SUM('1.งบบุคลากร'!F37+'2.งบดำเนินงาน'!R37+'3.งบลงทุน'!F37+'4.งบอุดหนุน'!F37+'5.งบรายจ่ายอื่น'!BF37)</f>
        <v>3229736.98</v>
      </c>
      <c r="H37" s="56">
        <f t="shared" si="2"/>
        <v>64.523924136087203</v>
      </c>
      <c r="I37" s="55"/>
    </row>
    <row r="38" spans="1:9" s="27" customFormat="1" x14ac:dyDescent="0.55000000000000004">
      <c r="A38" s="57">
        <v>32</v>
      </c>
      <c r="B38" s="58" t="s">
        <v>36</v>
      </c>
      <c r="C38" s="56">
        <f>SUM('1.งบบุคลากร'!C38+'2.งบดำเนินงาน'!O38+'3.งบลงทุน'!C38+'4.งบอุดหนุน'!C38+'5.งบรายจ่ายอื่น'!BC38)</f>
        <v>42920320</v>
      </c>
      <c r="D38" s="56">
        <f>SUM('1.งบบุคลากร'!D38+'2.งบดำเนินงาน'!P38+'3.งบลงทุน'!D38+'4.งบอุดหนุน'!D38+'5.งบรายจ่ายอื่น'!BD38)</f>
        <v>4736733</v>
      </c>
      <c r="E38" s="56">
        <f>SUM('1.งบบุคลากร'!E38+'2.งบดำเนินงาน'!Q38+'3.งบลงทุน'!E38+'4.งบอุดหนุน'!E38+'5.งบรายจ่ายอื่น'!BE38)</f>
        <v>34829156.590000004</v>
      </c>
      <c r="F38" s="56">
        <f t="shared" si="1"/>
        <v>39565889.590000004</v>
      </c>
      <c r="G38" s="56">
        <f>SUM('1.งบบุคลากร'!F38+'2.งบดำเนินงาน'!R38+'3.งบลงทุน'!F38+'4.งบอุดหนุน'!F38+'5.งบรายจ่ายอื่น'!BF38)</f>
        <v>3354430.41</v>
      </c>
      <c r="H38" s="56">
        <f t="shared" si="2"/>
        <v>92.184516774339059</v>
      </c>
      <c r="I38" s="55"/>
    </row>
    <row r="39" spans="1:9" s="27" customFormat="1" x14ac:dyDescent="0.55000000000000004">
      <c r="A39" s="57">
        <v>33</v>
      </c>
      <c r="B39" s="58" t="s">
        <v>37</v>
      </c>
      <c r="C39" s="56">
        <f>SUM('1.งบบุคลากร'!C39+'2.งบดำเนินงาน'!O39+'3.งบลงทุน'!C39+'4.งบอุดหนุน'!C39+'5.งบรายจ่ายอื่น'!BC39)</f>
        <v>24337236</v>
      </c>
      <c r="D39" s="56">
        <f>SUM('1.งบบุคลากร'!D39+'2.งบดำเนินงาน'!P39+'3.งบลงทุน'!D39+'4.งบอุดหนุน'!D39+'5.งบรายจ่ายอื่น'!BD39)</f>
        <v>3496.75</v>
      </c>
      <c r="E39" s="56">
        <f>SUM('1.งบบุคลากร'!E39+'2.งบดำเนินงาน'!Q39+'3.งบลงทุน'!E39+'4.งบอุดหนุน'!E39+'5.งบรายจ่ายอื่น'!BE39)</f>
        <v>19172629.030000001</v>
      </c>
      <c r="F39" s="56">
        <f t="shared" si="1"/>
        <v>19176125.780000001</v>
      </c>
      <c r="G39" s="56">
        <f>SUM('1.งบบุคลากร'!F39+'2.งบดำเนินงาน'!R39+'3.งบลงทุน'!F39+'4.งบอุดหนุน'!F39+'5.งบรายจ่ายอื่น'!BF39)</f>
        <v>5161110.2200000007</v>
      </c>
      <c r="H39" s="56">
        <f t="shared" si="2"/>
        <v>78.793359196582557</v>
      </c>
      <c r="I39" s="55"/>
    </row>
    <row r="40" spans="1:9" s="27" customFormat="1" x14ac:dyDescent="0.55000000000000004">
      <c r="A40" s="57">
        <v>34</v>
      </c>
      <c r="B40" s="58" t="s">
        <v>38</v>
      </c>
      <c r="C40" s="56">
        <f>SUM('1.งบบุคลากร'!C40+'2.งบดำเนินงาน'!O40+'3.งบลงทุน'!C40+'4.งบอุดหนุน'!C40+'5.งบรายจ่ายอื่น'!BC40)</f>
        <v>8065773</v>
      </c>
      <c r="D40" s="56">
        <f>SUM('1.งบบุคลากร'!D40+'2.งบดำเนินงาน'!P40+'3.งบลงทุน'!D40+'4.งบอุดหนุน'!D40+'5.งบรายจ่ายอื่น'!BD40)</f>
        <v>0</v>
      </c>
      <c r="E40" s="56">
        <f>SUM('1.งบบุคลากร'!E40+'2.งบดำเนินงาน'!Q40+'3.งบลงทุน'!E40+'4.งบอุดหนุน'!E40+'5.งบรายจ่ายอื่น'!BE40)</f>
        <v>4382093.3599999994</v>
      </c>
      <c r="F40" s="56">
        <f t="shared" si="1"/>
        <v>4382093.3599999994</v>
      </c>
      <c r="G40" s="56">
        <f>SUM('1.งบบุคลากร'!F40+'2.งบดำเนินงาน'!R40+'3.งบลงทุน'!F40+'4.งบอุดหนุน'!F40+'5.งบรายจ่ายอื่น'!BF40)</f>
        <v>3683679.64</v>
      </c>
      <c r="H40" s="56">
        <f t="shared" si="2"/>
        <v>54.329490304277087</v>
      </c>
      <c r="I40" s="55"/>
    </row>
    <row r="41" spans="1:9" s="27" customFormat="1" x14ac:dyDescent="0.55000000000000004">
      <c r="A41" s="57">
        <v>35</v>
      </c>
      <c r="B41" s="58" t="s">
        <v>39</v>
      </c>
      <c r="C41" s="56">
        <f>SUM('1.งบบุคลากร'!C41+'2.งบดำเนินงาน'!O41+'3.งบลงทุน'!C41+'4.งบอุดหนุน'!C41+'5.งบรายจ่ายอื่น'!BC41)</f>
        <v>33916220</v>
      </c>
      <c r="D41" s="56">
        <f>SUM('1.งบบุคลากร'!D41+'2.งบดำเนินงาน'!P41+'3.งบลงทุน'!D41+'4.งบอุดหนุน'!D41+'5.งบรายจ่ายอื่น'!BD41)</f>
        <v>1376750</v>
      </c>
      <c r="E41" s="56">
        <f>SUM('1.งบบุคลากร'!E41+'2.งบดำเนินงาน'!Q41+'3.งบลงทุน'!E41+'4.งบอุดหนุน'!E41+'5.งบรายจ่ายอื่น'!BE41)</f>
        <v>4174828.57</v>
      </c>
      <c r="F41" s="56">
        <f t="shared" si="1"/>
        <v>5551578.5700000003</v>
      </c>
      <c r="G41" s="56">
        <f>SUM('1.งบบุคลากร'!F41+'2.งบดำเนินงาน'!R41+'3.งบลงทุน'!F41+'4.งบอุดหนุน'!F41+'5.งบรายจ่ายอื่น'!BF41)</f>
        <v>28364641.43</v>
      </c>
      <c r="H41" s="56">
        <f t="shared" si="2"/>
        <v>16.368506189663826</v>
      </c>
      <c r="I41" s="55"/>
    </row>
    <row r="42" spans="1:9" s="27" customFormat="1" x14ac:dyDescent="0.55000000000000004">
      <c r="A42" s="57">
        <v>36</v>
      </c>
      <c r="B42" s="58" t="s">
        <v>40</v>
      </c>
      <c r="C42" s="56">
        <f>SUM('1.งบบุคลากร'!C42+'2.งบดำเนินงาน'!O42+'3.งบลงทุน'!C42+'4.งบอุดหนุน'!C42+'5.งบรายจ่ายอื่น'!BC42)</f>
        <v>30772831</v>
      </c>
      <c r="D42" s="56">
        <f>SUM('1.งบบุคลากร'!D42+'2.งบดำเนินงาน'!P42+'3.งบลงทุน'!D42+'4.งบอุดหนุน'!D42+'5.งบรายจ่ายอื่น'!BD42)</f>
        <v>5023700</v>
      </c>
      <c r="E42" s="56">
        <f>SUM('1.งบบุคลากร'!E42+'2.งบดำเนินงาน'!Q42+'3.งบลงทุน'!E42+'4.งบอุดหนุน'!E42+'5.งบรายจ่ายอื่น'!BE42)</f>
        <v>17087922.190000001</v>
      </c>
      <c r="F42" s="56">
        <f t="shared" si="1"/>
        <v>22111622.190000001</v>
      </c>
      <c r="G42" s="56">
        <f>SUM('1.งบบุคลากร'!F42+'2.งบดำเนินงาน'!R42+'3.งบลงทุน'!F42+'4.งบอุดหนุน'!F42+'5.งบรายจ่ายอื่น'!BF42)</f>
        <v>8661208.8099999987</v>
      </c>
      <c r="H42" s="56">
        <f t="shared" si="2"/>
        <v>71.854364617931964</v>
      </c>
      <c r="I42" s="55"/>
    </row>
    <row r="43" spans="1:9" s="27" customFormat="1" x14ac:dyDescent="0.55000000000000004">
      <c r="A43" s="57">
        <v>37</v>
      </c>
      <c r="B43" s="58" t="s">
        <v>41</v>
      </c>
      <c r="C43" s="56">
        <f>SUM('1.งบบุคลากร'!C43+'2.งบดำเนินงาน'!O43+'3.งบลงทุน'!C43+'4.งบอุดหนุน'!C43+'5.งบรายจ่ายอื่น'!BC43)</f>
        <v>29783204</v>
      </c>
      <c r="D43" s="56">
        <f>SUM('1.งบบุคลากร'!D43+'2.งบดำเนินงาน'!P43+'3.งบลงทุน'!D43+'4.งบอุดหนุน'!D43+'5.งบรายจ่ายอื่น'!BD43)</f>
        <v>13371978</v>
      </c>
      <c r="E43" s="56">
        <f>SUM('1.งบบุคลากร'!E43+'2.งบดำเนินงาน'!Q43+'3.งบลงทุน'!E43+'4.งบอุดหนุน'!E43+'5.งบรายจ่ายอื่น'!BE43)</f>
        <v>7424504.79</v>
      </c>
      <c r="F43" s="56">
        <f t="shared" si="1"/>
        <v>20796482.789999999</v>
      </c>
      <c r="G43" s="56">
        <f>SUM('1.งบบุคลากร'!F43+'2.งบดำเนินงาน'!R43+'3.งบลงทุน'!F43+'4.งบอุดหนุน'!F43+'5.งบรายจ่ายอื่น'!BF43)</f>
        <v>8986721.2100000009</v>
      </c>
      <c r="H43" s="56">
        <f t="shared" si="2"/>
        <v>69.826210739448982</v>
      </c>
      <c r="I43" s="55"/>
    </row>
    <row r="44" spans="1:9" s="27" customFormat="1" x14ac:dyDescent="0.55000000000000004">
      <c r="A44" s="57">
        <v>38</v>
      </c>
      <c r="B44" s="58" t="s">
        <v>42</v>
      </c>
      <c r="C44" s="56">
        <f>SUM('1.งบบุคลากร'!C44+'2.งบดำเนินงาน'!O44+'3.งบลงทุน'!C44+'4.งบอุดหนุน'!C44+'5.งบรายจ่ายอื่น'!BC44)</f>
        <v>15035612</v>
      </c>
      <c r="D44" s="56">
        <f>SUM('1.งบบุคลากร'!D44+'2.งบดำเนินงาน'!P44+'3.งบลงทุน'!D44+'4.งบอุดหนุน'!D44+'5.งบรายจ่ายอื่น'!BD44)</f>
        <v>323400</v>
      </c>
      <c r="E44" s="56">
        <f>SUM('1.งบบุคลากร'!E44+'2.งบดำเนินงาน'!Q44+'3.งบลงทุน'!E44+'4.งบอุดหนุน'!E44+'5.งบรายจ่ายอื่น'!BE44)</f>
        <v>3285654.96</v>
      </c>
      <c r="F44" s="56">
        <f t="shared" si="1"/>
        <v>3609054.96</v>
      </c>
      <c r="G44" s="56">
        <f>SUM('1.งบบุคลากร'!F44+'2.งบดำเนินงาน'!R44+'3.งบลงทุน'!F44+'4.งบอุดหนุน'!F44+'5.งบรายจ่ายอื่น'!BF44)</f>
        <v>11426557.039999999</v>
      </c>
      <c r="H44" s="56">
        <f t="shared" si="2"/>
        <v>24.003379177382339</v>
      </c>
      <c r="I44" s="55"/>
    </row>
    <row r="45" spans="1:9" s="27" customFormat="1" x14ac:dyDescent="0.55000000000000004">
      <c r="A45" s="57">
        <v>39</v>
      </c>
      <c r="B45" s="58" t="s">
        <v>43</v>
      </c>
      <c r="C45" s="56">
        <f>SUM('1.งบบุคลากร'!C45+'2.งบดำเนินงาน'!O45+'3.งบลงทุน'!C45+'4.งบอุดหนุน'!C45+'5.งบรายจ่ายอื่น'!BC45)</f>
        <v>9979213</v>
      </c>
      <c r="D45" s="56">
        <f>SUM('1.งบบุคลากร'!D45+'2.งบดำเนินงาน'!P45+'3.งบลงทุน'!D45+'4.งบอุดหนุน'!D45+'5.งบรายจ่ายอื่น'!BD45)</f>
        <v>543000</v>
      </c>
      <c r="E45" s="56">
        <f>SUM('1.งบบุคลากร'!E45+'2.งบดำเนินงาน'!Q45+'3.งบลงทุน'!E45+'4.งบอุดหนุน'!E45+'5.งบรายจ่ายอื่น'!BE45)</f>
        <v>5961832.6299999999</v>
      </c>
      <c r="F45" s="56">
        <f t="shared" si="1"/>
        <v>6504832.6299999999</v>
      </c>
      <c r="G45" s="56">
        <f>SUM('1.งบบุคลากร'!F45+'2.งบดำเนินงาน'!R45+'3.งบลงทุน'!F45+'4.งบอุดหนุน'!F45+'5.งบรายจ่ายอื่น'!BF45)</f>
        <v>3474380.37</v>
      </c>
      <c r="H45" s="56">
        <f t="shared" si="2"/>
        <v>65.183823914771637</v>
      </c>
      <c r="I45" s="55"/>
    </row>
    <row r="46" spans="1:9" s="27" customFormat="1" x14ac:dyDescent="0.55000000000000004">
      <c r="A46" s="57">
        <v>40</v>
      </c>
      <c r="B46" s="58" t="s">
        <v>44</v>
      </c>
      <c r="C46" s="56">
        <f>SUM('1.งบบุคลากร'!C46+'2.งบดำเนินงาน'!O46+'3.งบลงทุน'!C46+'4.งบอุดหนุน'!C46+'5.งบรายจ่ายอื่น'!BC46)</f>
        <v>8232402</v>
      </c>
      <c r="D46" s="56">
        <f>SUM('1.งบบุคลากร'!D46+'2.งบดำเนินงาน'!P46+'3.งบลงทุน'!D46+'4.งบอุดหนุน'!D46+'5.งบรายจ่ายอื่น'!BD46)</f>
        <v>511086</v>
      </c>
      <c r="E46" s="56">
        <f>SUM('1.งบบุคลากร'!E46+'2.งบดำเนินงาน'!Q46+'3.งบลงทุน'!E46+'4.งบอุดหนุน'!E46+'5.งบรายจ่ายอื่น'!BE46)</f>
        <v>5310347.28</v>
      </c>
      <c r="F46" s="56">
        <f t="shared" si="1"/>
        <v>5821433.2800000003</v>
      </c>
      <c r="G46" s="56">
        <f>SUM('1.งบบุคลากร'!F46+'2.งบดำเนินงาน'!R46+'3.งบลงทุน'!F46+'4.งบอุดหนุน'!F46+'5.งบรายจ่ายอื่น'!BF46)</f>
        <v>2410968.7199999997</v>
      </c>
      <c r="H46" s="56">
        <f t="shared" si="2"/>
        <v>70.713666315128933</v>
      </c>
      <c r="I46" s="55"/>
    </row>
    <row r="47" spans="1:9" s="27" customFormat="1" x14ac:dyDescent="0.55000000000000004">
      <c r="A47" s="57">
        <v>41</v>
      </c>
      <c r="B47" s="58" t="s">
        <v>45</v>
      </c>
      <c r="C47" s="56">
        <f>SUM('1.งบบุคลากร'!C47+'2.งบดำเนินงาน'!O47+'3.งบลงทุน'!C47+'4.งบอุดหนุน'!C47+'5.งบรายจ่ายอื่น'!BC47)</f>
        <v>106966314</v>
      </c>
      <c r="D47" s="56">
        <f>SUM('1.งบบุคลากร'!D47+'2.งบดำเนินงาน'!P47+'3.งบลงทุน'!D47+'4.งบอุดหนุน'!D47+'5.งบรายจ่ายอื่น'!BD47)</f>
        <v>1077284</v>
      </c>
      <c r="E47" s="56">
        <f>SUM('1.งบบุคลากร'!E47+'2.งบดำเนินงาน'!Q47+'3.งบลงทุน'!E47+'4.งบอุดหนุน'!E47+'5.งบรายจ่ายอื่น'!BE47)</f>
        <v>2860793.5300000003</v>
      </c>
      <c r="F47" s="56">
        <f t="shared" si="1"/>
        <v>3938077.5300000003</v>
      </c>
      <c r="G47" s="56">
        <f>SUM('1.งบบุคลากร'!F47+'2.งบดำเนินงาน'!R47+'3.งบลงทุน'!F47+'4.งบอุดหนุน'!F47+'5.งบรายจ่ายอื่น'!BF47)</f>
        <v>103028236.47</v>
      </c>
      <c r="H47" s="56">
        <f t="shared" si="2"/>
        <v>3.6816053416592442</v>
      </c>
      <c r="I47" s="55"/>
    </row>
    <row r="48" spans="1:9" s="27" customFormat="1" x14ac:dyDescent="0.55000000000000004">
      <c r="A48" s="57">
        <v>42</v>
      </c>
      <c r="B48" s="58" t="s">
        <v>46</v>
      </c>
      <c r="C48" s="56">
        <f>SUM('1.งบบุคลากร'!C48+'2.งบดำเนินงาน'!O48+'3.งบลงทุน'!C48+'4.งบอุดหนุน'!C48+'5.งบรายจ่ายอื่น'!BC48)</f>
        <v>12973809</v>
      </c>
      <c r="D48" s="56">
        <f>SUM('1.งบบุคลากร'!D48+'2.งบดำเนินงาน'!P48+'3.งบลงทุน'!D48+'4.งบอุดหนุน'!D48+'5.งบรายจ่ายอื่น'!BD48)</f>
        <v>631650</v>
      </c>
      <c r="E48" s="56">
        <f>SUM('1.งบบุคลากร'!E48+'2.งบดำเนินงาน'!Q48+'3.งบลงทุน'!E48+'4.งบอุดหนุน'!E48+'5.งบรายจ่ายอื่น'!BE48)</f>
        <v>3936413.29</v>
      </c>
      <c r="F48" s="56">
        <f t="shared" si="1"/>
        <v>4568063.29</v>
      </c>
      <c r="G48" s="56">
        <f>SUM('1.งบบุคลากร'!F48+'2.งบดำเนินงาน'!R48+'3.งบลงทุน'!F48+'4.งบอุดหนุน'!F48+'5.งบรายจ่ายอื่น'!BF48)</f>
        <v>8405745.7100000009</v>
      </c>
      <c r="H48" s="56">
        <f t="shared" si="2"/>
        <v>35.209885470026578</v>
      </c>
      <c r="I48" s="55"/>
    </row>
    <row r="49" spans="1:9" s="27" customFormat="1" x14ac:dyDescent="0.55000000000000004">
      <c r="A49" s="57">
        <v>43</v>
      </c>
      <c r="B49" s="58" t="s">
        <v>47</v>
      </c>
      <c r="C49" s="56">
        <f>SUM('1.งบบุคลากร'!C49+'2.งบดำเนินงาน'!O49+'3.งบลงทุน'!C49+'4.งบอุดหนุน'!C49+'5.งบรายจ่ายอื่น'!BC49)</f>
        <v>8645826</v>
      </c>
      <c r="D49" s="56">
        <f>SUM('1.งบบุคลากร'!D49+'2.งบดำเนินงาน'!P49+'3.งบลงทุน'!D49+'4.งบอุดหนุน'!D49+'5.งบรายจ่ายอื่น'!BD49)</f>
        <v>850888</v>
      </c>
      <c r="E49" s="56">
        <f>SUM('1.งบบุคลากร'!E49+'2.งบดำเนินงาน'!Q49+'3.งบลงทุน'!E49+'4.งบอุดหนุน'!E49+'5.งบรายจ่ายอื่น'!BE49)</f>
        <v>4920972.34</v>
      </c>
      <c r="F49" s="56">
        <f t="shared" si="1"/>
        <v>5771860.3399999999</v>
      </c>
      <c r="G49" s="56">
        <f>SUM('1.งบบุคลากร'!F49+'2.งบดำเนินงาน'!R49+'3.งบลงทุน'!F49+'4.งบอุดหนุน'!F49+'5.งบรายจ่ายอื่น'!BF49)</f>
        <v>2873965.66</v>
      </c>
      <c r="H49" s="56">
        <f t="shared" si="2"/>
        <v>66.7589232075686</v>
      </c>
      <c r="I49" s="55"/>
    </row>
    <row r="50" spans="1:9" s="27" customFormat="1" ht="24.75" customHeight="1" x14ac:dyDescent="0.55000000000000004">
      <c r="A50" s="57">
        <v>44</v>
      </c>
      <c r="B50" s="58" t="s">
        <v>48</v>
      </c>
      <c r="C50" s="56">
        <f>SUM('1.งบบุคลากร'!C50+'2.งบดำเนินงาน'!O50+'3.งบลงทุน'!C50+'4.งบอุดหนุน'!C50+'5.งบรายจ่ายอื่น'!BC50)</f>
        <v>13908695</v>
      </c>
      <c r="D50" s="56">
        <f>SUM('1.งบบุคลากร'!D50+'2.งบดำเนินงาน'!P50+'3.งบลงทุน'!D50+'4.งบอุดหนุน'!D50+'5.งบรายจ่ายอื่น'!BD50)</f>
        <v>1620900</v>
      </c>
      <c r="E50" s="56">
        <f>SUM('1.งบบุคลากร'!E50+'2.งบดำเนินงาน'!Q50+'3.งบลงทุน'!E50+'4.งบอุดหนุน'!E50+'5.งบรายจ่ายอื่น'!BE50)</f>
        <v>4531368.1399999997</v>
      </c>
      <c r="F50" s="56">
        <f t="shared" si="1"/>
        <v>6152268.1399999997</v>
      </c>
      <c r="G50" s="56">
        <f>SUM('1.งบบุคลากร'!F50+'2.งบดำเนินงาน'!R50+'3.งบลงทุน'!F50+'4.งบอุดหนุน'!F50+'5.งบรายจ่ายอื่น'!BF50)</f>
        <v>7756426.8599999994</v>
      </c>
      <c r="H50" s="56">
        <f t="shared" si="2"/>
        <v>44.233252221002765</v>
      </c>
      <c r="I50" s="55"/>
    </row>
    <row r="51" spans="1:9" s="27" customFormat="1" x14ac:dyDescent="0.55000000000000004">
      <c r="A51" s="57">
        <v>45</v>
      </c>
      <c r="B51" s="58" t="s">
        <v>49</v>
      </c>
      <c r="C51" s="56">
        <f>SUM('1.งบบุคลากร'!C51+'2.งบดำเนินงาน'!O51+'3.งบลงทุน'!C51+'4.งบอุดหนุน'!C51+'5.งบรายจ่ายอื่น'!BC51)</f>
        <v>7887809</v>
      </c>
      <c r="D51" s="56">
        <f>SUM('1.งบบุคลากร'!D51+'2.งบดำเนินงาน'!P51+'3.งบลงทุน'!D51+'4.งบอุดหนุน'!D51+'5.งบรายจ่ายอื่น'!BD51)</f>
        <v>451980</v>
      </c>
      <c r="E51" s="56">
        <f>SUM('1.งบบุคลากร'!E51+'2.งบดำเนินงาน'!Q51+'3.งบลงทุน'!E51+'4.งบอุดหนุน'!E51+'5.งบรายจ่ายอื่น'!BE51)</f>
        <v>4265973.8900000006</v>
      </c>
      <c r="F51" s="56">
        <f t="shared" si="1"/>
        <v>4717953.8900000006</v>
      </c>
      <c r="G51" s="56">
        <f>SUM('1.งบบุคลากร'!F51+'2.งบดำเนินงาน'!R51+'3.งบลงทุน'!F51+'4.งบอุดหนุน'!F51+'5.งบรายจ่ายอื่น'!BF51)</f>
        <v>3169855.1100000003</v>
      </c>
      <c r="H51" s="56">
        <f t="shared" si="2"/>
        <v>59.813236983806284</v>
      </c>
      <c r="I51" s="55"/>
    </row>
    <row r="52" spans="1:9" s="27" customFormat="1" x14ac:dyDescent="0.55000000000000004">
      <c r="A52" s="57">
        <v>46</v>
      </c>
      <c r="B52" s="58" t="s">
        <v>50</v>
      </c>
      <c r="C52" s="56">
        <f>SUM('1.งบบุคลากร'!C52+'2.งบดำเนินงาน'!O52+'3.งบลงทุน'!C52+'4.งบอุดหนุน'!C52+'5.งบรายจ่ายอื่น'!BC52)</f>
        <v>13179955</v>
      </c>
      <c r="D52" s="56">
        <f>SUM('1.งบบุคลากร'!D52+'2.งบดำเนินงาน'!P52+'3.งบลงทุน'!D52+'4.งบอุดหนุน'!D52+'5.งบรายจ่ายอื่น'!BD52)</f>
        <v>0</v>
      </c>
      <c r="E52" s="56">
        <f>SUM('1.งบบุคลากร'!E52+'2.งบดำเนินงาน'!Q52+'3.งบลงทุน'!E52+'4.งบอุดหนุน'!E52+'5.งบรายจ่ายอื่น'!BE52)</f>
        <v>4408366.62</v>
      </c>
      <c r="F52" s="56">
        <f t="shared" si="1"/>
        <v>4408366.62</v>
      </c>
      <c r="G52" s="56">
        <f>SUM('1.งบบุคลากร'!F52+'2.งบดำเนินงาน'!R52+'3.งบลงทุน'!F52+'4.งบอุดหนุน'!F52+'5.งบรายจ่ายอื่น'!BF52)</f>
        <v>8771588.379999999</v>
      </c>
      <c r="H52" s="56">
        <f t="shared" si="2"/>
        <v>33.447508887549311</v>
      </c>
      <c r="I52" s="55"/>
    </row>
    <row r="53" spans="1:9" s="27" customFormat="1" x14ac:dyDescent="0.55000000000000004">
      <c r="A53" s="57">
        <v>47</v>
      </c>
      <c r="B53" s="58" t="s">
        <v>51</v>
      </c>
      <c r="C53" s="56">
        <f>SUM('1.งบบุคลากร'!C53+'2.งบดำเนินงาน'!O53+'3.งบลงทุน'!C53+'4.งบอุดหนุน'!C53+'5.งบรายจ่ายอื่น'!BC53)</f>
        <v>29399032</v>
      </c>
      <c r="D53" s="56">
        <f>SUM('1.งบบุคลากร'!D53+'2.งบดำเนินงาน'!P53+'3.งบลงทุน'!D53+'4.งบอุดหนุน'!D53+'5.งบรายจ่ายอื่น'!BD53)</f>
        <v>1891359.98</v>
      </c>
      <c r="E53" s="56">
        <f>SUM('1.งบบุคลากร'!E53+'2.งบดำเนินงาน'!Q53+'3.งบลงทุน'!E53+'4.งบอุดหนุน'!E53+'5.งบรายจ่ายอื่น'!BE53)</f>
        <v>4308283.2799999993</v>
      </c>
      <c r="F53" s="56">
        <f t="shared" si="1"/>
        <v>6199643.2599999998</v>
      </c>
      <c r="G53" s="56">
        <f>SUM('1.งบบุคลากร'!F53+'2.งบดำเนินงาน'!R53+'3.งบลงทุน'!F53+'4.งบอุดหนุน'!F53+'5.งบรายจ่ายอื่น'!BF53)</f>
        <v>23199388.739999998</v>
      </c>
      <c r="H53" s="56">
        <f t="shared" si="2"/>
        <v>21.087916296019543</v>
      </c>
      <c r="I53" s="55"/>
    </row>
    <row r="54" spans="1:9" s="27" customFormat="1" x14ac:dyDescent="0.55000000000000004">
      <c r="A54" s="57">
        <v>48</v>
      </c>
      <c r="B54" s="58" t="s">
        <v>52</v>
      </c>
      <c r="C54" s="56">
        <f>SUM('1.งบบุคลากร'!C54+'2.งบดำเนินงาน'!O54+'3.งบลงทุน'!C54+'4.งบอุดหนุน'!C54+'5.งบรายจ่ายอื่น'!BC54)</f>
        <v>10362326</v>
      </c>
      <c r="D54" s="56">
        <f>SUM('1.งบบุคลากร'!D54+'2.งบดำเนินงาน'!P54+'3.งบลงทุน'!D54+'4.งบอุดหนุน'!D54+'5.งบรายจ่ายอื่น'!BD54)</f>
        <v>1536038</v>
      </c>
      <c r="E54" s="56">
        <f>SUM('1.งบบุคลากร'!E54+'2.งบดำเนินงาน'!Q54+'3.งบลงทุน'!E54+'4.งบอุดหนุน'!E54+'5.งบรายจ่ายอื่น'!BE54)</f>
        <v>5509859.5499999998</v>
      </c>
      <c r="F54" s="56">
        <f t="shared" si="1"/>
        <v>7045897.5499999998</v>
      </c>
      <c r="G54" s="56">
        <f>SUM('1.งบบุคลากร'!F54+'2.งบดำเนินงาน'!R54+'3.งบลงทุน'!F54+'4.งบอุดหนุน'!F54+'5.งบรายจ่ายอื่น'!BF54)</f>
        <v>3316428.45</v>
      </c>
      <c r="H54" s="56">
        <f t="shared" si="2"/>
        <v>67.995327979451716</v>
      </c>
      <c r="I54" s="55"/>
    </row>
    <row r="55" spans="1:9" s="27" customFormat="1" x14ac:dyDescent="0.55000000000000004">
      <c r="A55" s="57">
        <v>49</v>
      </c>
      <c r="B55" s="58" t="s">
        <v>53</v>
      </c>
      <c r="C55" s="56">
        <f>SUM('1.งบบุคลากร'!C55+'2.งบดำเนินงาน'!O55+'3.งบลงทุน'!C55+'4.งบอุดหนุน'!C55+'5.งบรายจ่ายอื่น'!BC55)</f>
        <v>21830262</v>
      </c>
      <c r="D55" s="56">
        <f>SUM('1.งบบุคลากร'!D55+'2.งบดำเนินงาน'!P55+'3.งบลงทุน'!D55+'4.งบอุดหนุน'!D55+'5.งบรายจ่ายอื่น'!BD55)</f>
        <v>528000</v>
      </c>
      <c r="E55" s="56">
        <f>SUM('1.งบบุคลากร'!E55+'2.งบดำเนินงาน'!Q55+'3.งบลงทุน'!E55+'4.งบอุดหนุน'!E55+'5.งบรายจ่ายอื่น'!BE55)</f>
        <v>17555980.52</v>
      </c>
      <c r="F55" s="56">
        <f t="shared" si="1"/>
        <v>18083980.52</v>
      </c>
      <c r="G55" s="56">
        <f>SUM('1.งบบุคลากร'!F55+'2.งบดำเนินงาน'!R55+'3.งบลงทุน'!F55+'4.งบอุดหนุน'!F55+'5.งบรายจ่ายอื่น'!BF55)</f>
        <v>3746281.48</v>
      </c>
      <c r="H55" s="56">
        <f t="shared" si="2"/>
        <v>82.839044808532307</v>
      </c>
      <c r="I55" s="55"/>
    </row>
    <row r="56" spans="1:9" s="27" customFormat="1" x14ac:dyDescent="0.55000000000000004">
      <c r="A56" s="57">
        <v>50</v>
      </c>
      <c r="B56" s="58" t="s">
        <v>54</v>
      </c>
      <c r="C56" s="56">
        <f>SUM('1.งบบุคลากร'!C56+'2.งบดำเนินงาน'!O56+'3.งบลงทุน'!C56+'4.งบอุดหนุน'!C56+'5.งบรายจ่ายอื่น'!BC56)</f>
        <v>10135170</v>
      </c>
      <c r="D56" s="56">
        <f>SUM('1.งบบุคลากร'!D56+'2.งบดำเนินงาน'!P56+'3.งบลงทุน'!D56+'4.งบอุดหนุน'!D56+'5.งบรายจ่ายอื่น'!BD56)</f>
        <v>450000</v>
      </c>
      <c r="E56" s="56">
        <f>SUM('1.งบบุคลากร'!E56+'2.งบดำเนินงาน'!Q56+'3.งบลงทุน'!E56+'4.งบอุดหนุน'!E56+'5.งบรายจ่ายอื่น'!BE56)</f>
        <v>5119521.9600000009</v>
      </c>
      <c r="F56" s="56">
        <f t="shared" si="1"/>
        <v>5569521.9600000009</v>
      </c>
      <c r="G56" s="56">
        <f>SUM('1.งบบุคลากร'!F56+'2.งบดำเนินงาน'!R56+'3.งบลงทุน'!F56+'4.งบอุดหนุน'!F56+'5.งบรายจ่ายอื่น'!BF56)</f>
        <v>4565648.0399999991</v>
      </c>
      <c r="H56" s="56">
        <f t="shared" si="2"/>
        <v>54.952427635648945</v>
      </c>
      <c r="I56" s="55"/>
    </row>
    <row r="57" spans="1:9" s="27" customFormat="1" x14ac:dyDescent="0.55000000000000004">
      <c r="A57" s="57">
        <v>51</v>
      </c>
      <c r="B57" s="58" t="s">
        <v>55</v>
      </c>
      <c r="C57" s="56">
        <f>SUM('1.งบบุคลากร'!C57+'2.งบดำเนินงาน'!O57+'3.งบลงทุน'!C57+'4.งบอุดหนุน'!C57+'5.งบรายจ่ายอื่น'!BC57)</f>
        <v>9347236</v>
      </c>
      <c r="D57" s="56">
        <f>SUM('1.งบบุคลากร'!D57+'2.งบดำเนินงาน'!P57+'3.งบลงทุน'!D57+'4.งบอุดหนุน'!D57+'5.งบรายจ่ายอื่น'!BD57)</f>
        <v>1926333</v>
      </c>
      <c r="E57" s="56">
        <f>SUM('1.งบบุคลากร'!E57+'2.งบดำเนินงาน'!Q57+'3.งบลงทุน'!E57+'4.งบอุดหนุน'!E57+'5.งบรายจ่ายอื่น'!BE57)</f>
        <v>3793407.5600000005</v>
      </c>
      <c r="F57" s="56">
        <f t="shared" si="1"/>
        <v>5719740.5600000005</v>
      </c>
      <c r="G57" s="56">
        <f>SUM('1.งบบุคลากร'!F57+'2.งบดำเนินงาน'!R57+'3.งบลงทุน'!F57+'4.งบอุดหนุน'!F57+'5.งบรายจ่ายอื่น'!BF57)</f>
        <v>3627495.4399999995</v>
      </c>
      <c r="H57" s="56">
        <f t="shared" si="2"/>
        <v>61.191785036774505</v>
      </c>
      <c r="I57" s="55"/>
    </row>
    <row r="58" spans="1:9" s="27" customFormat="1" x14ac:dyDescent="0.55000000000000004">
      <c r="A58" s="57">
        <v>52</v>
      </c>
      <c r="B58" s="58" t="s">
        <v>56</v>
      </c>
      <c r="C58" s="56">
        <f>SUM('1.งบบุคลากร'!C58+'2.งบดำเนินงาน'!O58+'3.งบลงทุน'!C58+'4.งบอุดหนุน'!C58+'5.งบรายจ่ายอื่น'!BC58)</f>
        <v>8657546</v>
      </c>
      <c r="D58" s="56">
        <f>SUM('1.งบบุคลากร'!D58+'2.งบดำเนินงาน'!P58+'3.งบลงทุน'!D58+'4.งบอุดหนุน'!D58+'5.งบรายจ่ายอื่น'!BD58)</f>
        <v>2649358.75</v>
      </c>
      <c r="E58" s="56">
        <f>SUM('1.งบบุคลากร'!E58+'2.งบดำเนินงาน'!Q58+'3.งบลงทุน'!E58+'4.งบอุดหนุน'!E58+'5.งบรายจ่ายอื่น'!BE58)</f>
        <v>3899694.01</v>
      </c>
      <c r="F58" s="56">
        <f t="shared" si="1"/>
        <v>6549052.7599999998</v>
      </c>
      <c r="G58" s="56">
        <f>SUM('1.งบบุคลากร'!F58+'2.งบดำเนินงาน'!R58+'3.งบลงทุน'!F58+'4.งบอุดหนุน'!F58+'5.งบรายจ่ายอื่น'!BF58)</f>
        <v>2108493.2400000002</v>
      </c>
      <c r="H58" s="56">
        <f t="shared" si="2"/>
        <v>75.645601652015472</v>
      </c>
      <c r="I58" s="55"/>
    </row>
    <row r="59" spans="1:9" s="27" customFormat="1" x14ac:dyDescent="0.55000000000000004">
      <c r="A59" s="57">
        <v>53</v>
      </c>
      <c r="B59" s="58" t="s">
        <v>57</v>
      </c>
      <c r="C59" s="56">
        <f>SUM('1.งบบุคลากร'!C59+'2.งบดำเนินงาน'!O59+'3.งบลงทุน'!C59+'4.งบอุดหนุน'!C59+'5.งบรายจ่ายอื่น'!BC59)</f>
        <v>24053149</v>
      </c>
      <c r="D59" s="56">
        <f>SUM('1.งบบุคลากร'!D59+'2.งบดำเนินงาน'!P59+'3.งบลงทุน'!D59+'4.งบอุดหนุน'!D59+'5.งบรายจ่ายอื่น'!BD59)</f>
        <v>0</v>
      </c>
      <c r="E59" s="56">
        <f>SUM('1.งบบุคลากร'!E59+'2.งบดำเนินงาน'!Q59+'3.งบลงทุน'!E59+'4.งบอุดหนุน'!E59+'5.งบรายจ่ายอื่น'!BE59)</f>
        <v>6459472.8100000005</v>
      </c>
      <c r="F59" s="56">
        <f t="shared" si="1"/>
        <v>6459472.8100000005</v>
      </c>
      <c r="G59" s="56">
        <f>SUM('1.งบบุคลากร'!F59+'2.งบดำเนินงาน'!R59+'3.งบลงทุน'!F59+'4.งบอุดหนุน'!F59+'5.งบรายจ่ายอื่น'!BF59)</f>
        <v>17593676.190000001</v>
      </c>
      <c r="H59" s="56">
        <f t="shared" si="2"/>
        <v>26.854998528467103</v>
      </c>
      <c r="I59" s="55"/>
    </row>
    <row r="60" spans="1:9" s="27" customFormat="1" x14ac:dyDescent="0.55000000000000004">
      <c r="A60" s="57">
        <v>54</v>
      </c>
      <c r="B60" s="58" t="s">
        <v>58</v>
      </c>
      <c r="C60" s="56">
        <f>SUM('1.งบบุคลากร'!C60+'2.งบดำเนินงาน'!O60+'3.งบลงทุน'!C60+'4.งบอุดหนุน'!C60+'5.งบรายจ่ายอื่น'!BC60)</f>
        <v>9750690</v>
      </c>
      <c r="D60" s="56">
        <f>SUM('1.งบบุคลากร'!D60+'2.งบดำเนินงาน'!P60+'3.งบลงทุน'!D60+'4.งบอุดหนุน'!D60+'5.งบรายจ่ายอื่น'!BD60)</f>
        <v>222112.5</v>
      </c>
      <c r="E60" s="56">
        <f>SUM('1.งบบุคลากร'!E60+'2.งบดำเนินงาน'!Q60+'3.งบลงทุน'!E60+'4.งบอุดหนุน'!E60+'5.งบรายจ่ายอื่น'!BE60)</f>
        <v>4949696.04</v>
      </c>
      <c r="F60" s="56">
        <f t="shared" si="1"/>
        <v>5171808.54</v>
      </c>
      <c r="G60" s="56">
        <f>SUM('1.งบบุคลากร'!F60+'2.งบดำเนินงาน'!R60+'3.งบลงทุน'!F60+'4.งบอุดหนุน'!F60+'5.งบรายจ่ายอื่น'!BF60)</f>
        <v>4578881.46</v>
      </c>
      <c r="H60" s="56">
        <f t="shared" si="2"/>
        <v>53.040436522953762</v>
      </c>
      <c r="I60" s="55"/>
    </row>
    <row r="61" spans="1:9" s="27" customFormat="1" x14ac:dyDescent="0.55000000000000004">
      <c r="A61" s="57">
        <v>55</v>
      </c>
      <c r="B61" s="58" t="s">
        <v>59</v>
      </c>
      <c r="C61" s="56">
        <f>SUM('1.งบบุคลากร'!C61+'2.งบดำเนินงาน'!O61+'3.งบลงทุน'!C61+'4.งบอุดหนุน'!C61+'5.งบรายจ่ายอื่น'!BC61)</f>
        <v>10749907</v>
      </c>
      <c r="D61" s="56">
        <f>SUM('1.งบบุคลากร'!D61+'2.งบดำเนินงาน'!P61+'3.งบลงทุน'!D61+'4.งบอุดหนุน'!D61+'5.งบรายจ่ายอื่น'!BD61)</f>
        <v>2140</v>
      </c>
      <c r="E61" s="56">
        <f>SUM('1.งบบุคลากร'!E61+'2.งบดำเนินงาน'!Q61+'3.งบลงทุน'!E61+'4.งบอุดหนุน'!E61+'5.งบรายจ่ายอื่น'!BE61)</f>
        <v>4048185.34</v>
      </c>
      <c r="F61" s="56">
        <f t="shared" si="1"/>
        <v>4050325.34</v>
      </c>
      <c r="G61" s="56">
        <f>SUM('1.งบบุคลากร'!F61+'2.งบดำเนินงาน'!R61+'3.งบลงทุน'!F61+'4.งบอุดหนุน'!F61+'5.งบรายจ่ายอื่น'!BF61)</f>
        <v>6699581.6600000001</v>
      </c>
      <c r="H61" s="56">
        <f t="shared" si="2"/>
        <v>37.677770979786153</v>
      </c>
      <c r="I61" s="55"/>
    </row>
    <row r="62" spans="1:9" s="27" customFormat="1" x14ac:dyDescent="0.55000000000000004">
      <c r="A62" s="57">
        <v>56</v>
      </c>
      <c r="B62" s="58" t="s">
        <v>60</v>
      </c>
      <c r="C62" s="56">
        <f>SUM('1.งบบุคลากร'!C62+'2.งบดำเนินงาน'!O62+'3.งบลงทุน'!C62+'4.งบอุดหนุน'!C62+'5.งบรายจ่ายอื่น'!BC62)</f>
        <v>10889068</v>
      </c>
      <c r="D62" s="56">
        <f>SUM('1.งบบุคลากร'!D62+'2.งบดำเนินงาน'!P62+'3.งบลงทุน'!D62+'4.งบอุดหนุน'!D62+'5.งบรายจ่ายอื่น'!BD62)</f>
        <v>1572000</v>
      </c>
      <c r="E62" s="56">
        <f>SUM('1.งบบุคลากร'!E62+'2.งบดำเนินงาน'!Q62+'3.งบลงทุน'!E62+'4.งบอุดหนุน'!E62+'5.งบรายจ่ายอื่น'!BE62)</f>
        <v>5311705.07</v>
      </c>
      <c r="F62" s="56">
        <f t="shared" si="1"/>
        <v>6883705.0700000003</v>
      </c>
      <c r="G62" s="56">
        <f>SUM('1.งบบุคลากร'!F62+'2.งบดำเนินงาน'!R62+'3.งบลงทุน'!F62+'4.งบอุดหนุน'!F62+'5.งบรายจ่ายอื่น'!BF62)</f>
        <v>4005362.9299999997</v>
      </c>
      <c r="H62" s="56">
        <f t="shared" si="2"/>
        <v>63.21665977290251</v>
      </c>
      <c r="I62" s="55"/>
    </row>
    <row r="63" spans="1:9" s="27" customFormat="1" x14ac:dyDescent="0.55000000000000004">
      <c r="A63" s="57">
        <v>57</v>
      </c>
      <c r="B63" s="58" t="s">
        <v>61</v>
      </c>
      <c r="C63" s="56">
        <f>SUM('1.งบบุคลากร'!C63+'2.งบดำเนินงาน'!O63+'3.งบลงทุน'!C63+'4.งบอุดหนุน'!C63+'5.งบรายจ่ายอื่น'!BC63)</f>
        <v>29396248</v>
      </c>
      <c r="D63" s="56">
        <f>SUM('1.งบบุคลากร'!D63+'2.งบดำเนินงาน'!P63+'3.งบลงทุน'!D63+'4.งบอุดหนุน'!D63+'5.งบรายจ่ายอื่น'!BD63)</f>
        <v>5684940</v>
      </c>
      <c r="E63" s="56">
        <f>SUM('1.งบบุคลากร'!E63+'2.งบดำเนินงาน'!Q63+'3.งบลงทุน'!E63+'4.งบอุดหนุน'!E63+'5.งบรายจ่ายอื่น'!BE63)</f>
        <v>14272533.92</v>
      </c>
      <c r="F63" s="56">
        <f t="shared" si="1"/>
        <v>19957473.920000002</v>
      </c>
      <c r="G63" s="56">
        <f>SUM('1.งบบุคลากร'!F63+'2.งบดำเนินงาน'!R63+'3.งบลงทุน'!F63+'4.งบอุดหนุน'!F63+'5.งบรายจ่ายอื่น'!BF63)</f>
        <v>9438774.0800000001</v>
      </c>
      <c r="H63" s="56">
        <f t="shared" si="2"/>
        <v>67.891228567672997</v>
      </c>
      <c r="I63" s="55"/>
    </row>
    <row r="64" spans="1:9" s="27" customFormat="1" x14ac:dyDescent="0.55000000000000004">
      <c r="A64" s="57">
        <v>58</v>
      </c>
      <c r="B64" s="58" t="s">
        <v>62</v>
      </c>
      <c r="C64" s="56">
        <f>SUM('1.งบบุคลากร'!C64+'2.งบดำเนินงาน'!O64+'3.งบลงทุน'!C64+'4.งบอุดหนุน'!C64+'5.งบรายจ่ายอื่น'!BC64)</f>
        <v>8138554</v>
      </c>
      <c r="D64" s="56">
        <f>SUM('1.งบบุคลากร'!D64+'2.งบดำเนินงาน'!P64+'3.งบลงทุน'!D64+'4.งบอุดหนุน'!D64+'5.งบรายจ่ายอื่น'!BD64)</f>
        <v>24000</v>
      </c>
      <c r="E64" s="56">
        <f>SUM('1.งบบุคลากร'!E64+'2.งบดำเนินงาน'!Q64+'3.งบลงทุน'!E64+'4.งบอุดหนุน'!E64+'5.งบรายจ่ายอื่น'!BE64)</f>
        <v>3361971.8699999996</v>
      </c>
      <c r="F64" s="56">
        <f t="shared" si="1"/>
        <v>3385971.8699999996</v>
      </c>
      <c r="G64" s="56">
        <f>SUM('1.งบบุคลากร'!F64+'2.งบดำเนินงาน'!R64+'3.งบลงทุน'!F64+'4.งบอุดหนุน'!F64+'5.งบรายจ่ายอื่น'!BF64)</f>
        <v>4752582.1300000008</v>
      </c>
      <c r="H64" s="56">
        <f t="shared" si="2"/>
        <v>41.604096624535508</v>
      </c>
      <c r="I64" s="55"/>
    </row>
    <row r="65" spans="1:9" s="27" customFormat="1" x14ac:dyDescent="0.55000000000000004">
      <c r="A65" s="57">
        <v>59</v>
      </c>
      <c r="B65" s="58" t="s">
        <v>63</v>
      </c>
      <c r="C65" s="56">
        <f>SUM('1.งบบุคลากร'!C65+'2.งบดำเนินงาน'!O65+'3.งบลงทุน'!C65+'4.งบอุดหนุน'!C65+'5.งบรายจ่ายอื่น'!BC65)</f>
        <v>11999057</v>
      </c>
      <c r="D65" s="56">
        <f>SUM('1.งบบุคลากร'!D65+'2.งบดำเนินงาน'!P65+'3.งบลงทุน'!D65+'4.งบอุดหนุน'!D65+'5.งบรายจ่ายอื่น'!BD65)</f>
        <v>1038775</v>
      </c>
      <c r="E65" s="56">
        <f>SUM('1.งบบุคลากร'!E65+'2.งบดำเนินงาน'!Q65+'3.งบลงทุน'!E65+'4.งบอุดหนุน'!E65+'5.งบรายจ่ายอื่น'!BE65)</f>
        <v>3439049.0300000003</v>
      </c>
      <c r="F65" s="56">
        <f t="shared" si="1"/>
        <v>4477824.03</v>
      </c>
      <c r="G65" s="56">
        <f>SUM('1.งบบุคลากร'!F65+'2.งบดำเนินงาน'!R65+'3.งบลงทุน'!F65+'4.งบอุดหนุน'!F65+'5.งบรายจ่ายอื่น'!BF65)</f>
        <v>7521232.9700000007</v>
      </c>
      <c r="H65" s="56">
        <f t="shared" si="2"/>
        <v>37.318132833271818</v>
      </c>
      <c r="I65" s="55"/>
    </row>
    <row r="66" spans="1:9" s="27" customFormat="1" x14ac:dyDescent="0.55000000000000004">
      <c r="A66" s="57">
        <v>60</v>
      </c>
      <c r="B66" s="58" t="s">
        <v>64</v>
      </c>
      <c r="C66" s="56">
        <f>SUM('1.งบบุคลากร'!C66+'2.งบดำเนินงาน'!O66+'3.งบลงทุน'!C66+'4.งบอุดหนุน'!C66+'5.งบรายจ่ายอื่น'!BC66)</f>
        <v>8359550</v>
      </c>
      <c r="D66" s="56">
        <f>SUM('1.งบบุคลากร'!D66+'2.งบดำเนินงาน'!P66+'3.งบลงทุน'!D66+'4.งบอุดหนุน'!D66+'5.งบรายจ่ายอื่น'!BD66)</f>
        <v>518000</v>
      </c>
      <c r="E66" s="56">
        <f>SUM('1.งบบุคลากร'!E66+'2.งบดำเนินงาน'!Q66+'3.งบลงทุน'!E66+'4.งบอุดหนุน'!E66+'5.งบรายจ่ายอื่น'!BE66)</f>
        <v>3839155.79</v>
      </c>
      <c r="F66" s="56">
        <f t="shared" si="1"/>
        <v>4357155.79</v>
      </c>
      <c r="G66" s="56">
        <f>SUM('1.งบบุคลากร'!F66+'2.งบดำเนินงาน'!R66+'3.งบลงทุน'!F66+'4.งบอุดหนุน'!F66+'5.งบรายจ่ายอื่น'!BF66)</f>
        <v>4002394.21</v>
      </c>
      <c r="H66" s="56">
        <f t="shared" si="2"/>
        <v>52.121894001471368</v>
      </c>
      <c r="I66" s="55"/>
    </row>
    <row r="67" spans="1:9" s="27" customFormat="1" x14ac:dyDescent="0.55000000000000004">
      <c r="A67" s="57">
        <v>61</v>
      </c>
      <c r="B67" s="58" t="s">
        <v>65</v>
      </c>
      <c r="C67" s="56">
        <f>SUM('1.งบบุคลากร'!C67+'2.งบดำเนินงาน'!O67+'3.งบลงทุน'!C67+'4.งบอุดหนุน'!C67+'5.งบรายจ่ายอื่น'!BC67)</f>
        <v>19265528</v>
      </c>
      <c r="D67" s="56">
        <f>SUM('1.งบบุคลากร'!D67+'2.งบดำเนินงาน'!P67+'3.งบลงทุน'!D67+'4.งบอุดหนุน'!D67+'5.งบรายจ่ายอื่น'!BD67)</f>
        <v>9112756.0199999996</v>
      </c>
      <c r="E67" s="56">
        <f>SUM('1.งบบุคลากร'!E67+'2.งบดำเนินงาน'!Q67+'3.งบลงทุน'!E67+'4.งบอุดหนุน'!E67+'5.งบรายจ่ายอื่น'!BE67)</f>
        <v>6476422.25</v>
      </c>
      <c r="F67" s="56">
        <f t="shared" si="1"/>
        <v>15589178.27</v>
      </c>
      <c r="G67" s="56">
        <f>SUM('1.งบบุคลากร'!F67+'2.งบดำเนินงาน'!R67+'3.งบลงทุน'!F67+'4.งบอุดหนุน'!F67+'5.งบรายจ่ายอื่น'!BF67)</f>
        <v>3676349.7300000004</v>
      </c>
      <c r="H67" s="56">
        <f t="shared" si="2"/>
        <v>80.91747223330708</v>
      </c>
      <c r="I67" s="55"/>
    </row>
    <row r="68" spans="1:9" s="27" customFormat="1" x14ac:dyDescent="0.55000000000000004">
      <c r="A68" s="57">
        <v>62</v>
      </c>
      <c r="B68" s="58" t="s">
        <v>66</v>
      </c>
      <c r="C68" s="56">
        <f>SUM('1.งบบุคลากร'!C68+'2.งบดำเนินงาน'!O68+'3.งบลงทุน'!C68+'4.งบอุดหนุน'!C68+'5.งบรายจ่ายอื่น'!BC68)</f>
        <v>9523406</v>
      </c>
      <c r="D68" s="56">
        <f>SUM('1.งบบุคลากร'!D68+'2.งบดำเนินงาน'!P68+'3.งบลงทุน'!D68+'4.งบอุดหนุน'!D68+'5.งบรายจ่ายอื่น'!BD68)</f>
        <v>23644.86</v>
      </c>
      <c r="E68" s="56">
        <f>SUM('1.งบบุคลากร'!E68+'2.งบดำเนินงาน'!Q68+'3.งบลงทุน'!E68+'4.งบอุดหนุน'!E68+'5.งบรายจ่ายอื่น'!BE68)</f>
        <v>5365384.88</v>
      </c>
      <c r="F68" s="56">
        <f t="shared" si="1"/>
        <v>5389029.7400000002</v>
      </c>
      <c r="G68" s="56">
        <f>SUM('1.งบบุคลากร'!F68+'2.งบดำเนินงาน'!R68+'3.งบลงทุน'!F68+'4.งบอุดหนุน'!F68+'5.งบรายจ่ายอื่น'!BF68)</f>
        <v>4134376.26</v>
      </c>
      <c r="H68" s="56">
        <f t="shared" si="2"/>
        <v>56.587209870082198</v>
      </c>
      <c r="I68" s="55"/>
    </row>
    <row r="69" spans="1:9" s="27" customFormat="1" x14ac:dyDescent="0.55000000000000004">
      <c r="A69" s="57">
        <v>63</v>
      </c>
      <c r="B69" s="58" t="s">
        <v>67</v>
      </c>
      <c r="C69" s="56">
        <f>SUM('1.งบบุคลากร'!C69+'2.งบดำเนินงาน'!O69+'3.งบลงทุน'!C69+'4.งบอุดหนุน'!C69+'5.งบรายจ่ายอื่น'!BC69)</f>
        <v>9187334</v>
      </c>
      <c r="D69" s="56">
        <f>SUM('1.งบบุคลากร'!D69+'2.งบดำเนินงาน'!P69+'3.งบลงทุน'!D69+'4.งบอุดหนุน'!D69+'5.งบรายจ่ายอื่น'!BD69)</f>
        <v>85742</v>
      </c>
      <c r="E69" s="56">
        <f>SUM('1.งบบุคลากร'!E69+'2.งบดำเนินงาน'!Q69+'3.งบลงทุน'!E69+'4.งบอุดหนุน'!E69+'5.งบรายจ่ายอื่น'!BE69)</f>
        <v>3645593.0599999996</v>
      </c>
      <c r="F69" s="56">
        <f t="shared" si="1"/>
        <v>3731335.0599999996</v>
      </c>
      <c r="G69" s="56">
        <f>SUM('1.งบบุคลากร'!F69+'2.งบดำเนินงาน'!R69+'3.งบลงทุน'!F69+'4.งบอุดหนุน'!F69+'5.งบรายจ่ายอื่น'!BF69)</f>
        <v>5455998.9400000004</v>
      </c>
      <c r="H69" s="56">
        <f t="shared" si="2"/>
        <v>40.613904534220694</v>
      </c>
      <c r="I69" s="55"/>
    </row>
    <row r="70" spans="1:9" s="27" customFormat="1" x14ac:dyDescent="0.55000000000000004">
      <c r="A70" s="57">
        <v>64</v>
      </c>
      <c r="B70" s="58" t="s">
        <v>68</v>
      </c>
      <c r="C70" s="56">
        <f>SUM('1.งบบุคลากร'!C70+'2.งบดำเนินงาน'!O70+'3.งบลงทุน'!C70+'4.งบอุดหนุน'!C70+'5.งบรายจ่ายอื่น'!BC70)</f>
        <v>22464362</v>
      </c>
      <c r="D70" s="56">
        <f>SUM('1.งบบุคลากร'!D70+'2.งบดำเนินงาน'!P70+'3.งบลงทุน'!D70+'4.งบอุดหนุน'!D70+'5.งบรายจ่ายอื่น'!BD70)</f>
        <v>0</v>
      </c>
      <c r="E70" s="56">
        <f>SUM('1.งบบุคลากร'!E70+'2.งบดำเนินงาน'!Q70+'3.งบลงทุน'!E70+'4.งบอุดหนุน'!E70+'5.งบรายจ่ายอื่น'!BE70)</f>
        <v>2152856.4700000002</v>
      </c>
      <c r="F70" s="56">
        <f t="shared" si="1"/>
        <v>2152856.4700000002</v>
      </c>
      <c r="G70" s="56">
        <f>SUM('1.งบบุคลากร'!F70+'2.งบดำเนินงาน'!R70+'3.งบลงทุน'!F70+'4.งบอุดหนุน'!F70+'5.งบรายจ่ายอื่น'!BF70)</f>
        <v>20311505.529999997</v>
      </c>
      <c r="H70" s="56">
        <f t="shared" si="2"/>
        <v>9.583430279480007</v>
      </c>
      <c r="I70" s="55"/>
    </row>
    <row r="71" spans="1:9" s="27" customFormat="1" x14ac:dyDescent="0.55000000000000004">
      <c r="A71" s="57">
        <v>65</v>
      </c>
      <c r="B71" s="58" t="s">
        <v>69</v>
      </c>
      <c r="C71" s="56">
        <f>SUM('1.งบบุคลากร'!C71+'2.งบดำเนินงาน'!O71+'3.งบลงทุน'!C71+'4.งบอุดหนุน'!C71+'5.งบรายจ่ายอื่น'!BC71)</f>
        <v>81034139</v>
      </c>
      <c r="D71" s="56">
        <f>SUM('1.งบบุคลากร'!D71+'2.งบดำเนินงาน'!P71+'3.งบลงทุน'!D71+'4.งบอุดหนุน'!D71+'5.งบรายจ่ายอื่น'!BD71)</f>
        <v>999313</v>
      </c>
      <c r="E71" s="56">
        <f>SUM('1.งบบุคลากร'!E71+'2.งบดำเนินงาน'!Q71+'3.งบลงทุน'!E71+'4.งบอุดหนุน'!E71+'5.งบรายจ่ายอื่น'!BE71)</f>
        <v>54978575.009999998</v>
      </c>
      <c r="F71" s="56">
        <f t="shared" si="1"/>
        <v>55977888.009999998</v>
      </c>
      <c r="G71" s="56">
        <f>SUM('1.งบบุคลากร'!F71+'2.งบดำเนินงาน'!R71+'3.งบลงทุน'!F71+'4.งบอุดหนุน'!F71+'5.งบรายจ่ายอื่น'!BF71)</f>
        <v>25056250.989999998</v>
      </c>
      <c r="H71" s="56">
        <f t="shared" si="2"/>
        <v>69.079388885713954</v>
      </c>
      <c r="I71" s="55"/>
    </row>
    <row r="72" spans="1:9" s="27" customFormat="1" x14ac:dyDescent="0.55000000000000004">
      <c r="A72" s="57">
        <v>66</v>
      </c>
      <c r="B72" s="58" t="s">
        <v>70</v>
      </c>
      <c r="C72" s="56">
        <f>SUM('1.งบบุคลากร'!C72+'2.งบดำเนินงาน'!O72+'3.งบลงทุน'!C72+'4.งบอุดหนุน'!C72+'5.งบรายจ่ายอื่น'!BC72)</f>
        <v>11322262</v>
      </c>
      <c r="D72" s="56">
        <f>SUM('1.งบบุคลากร'!D72+'2.งบดำเนินงาน'!P72+'3.งบลงทุน'!D72+'4.งบอุดหนุน'!D72+'5.งบรายจ่ายอื่น'!BD72)</f>
        <v>390750</v>
      </c>
      <c r="E72" s="56">
        <f>SUM('1.งบบุคลากร'!E72+'2.งบดำเนินงาน'!Q72+'3.งบลงทุน'!E72+'4.งบอุดหนุน'!E72+'5.งบรายจ่ายอื่น'!BE72)</f>
        <v>6510660.6099999994</v>
      </c>
      <c r="F72" s="56">
        <f t="shared" ref="F72:F82" si="3">D72+E72</f>
        <v>6901410.6099999994</v>
      </c>
      <c r="G72" s="56">
        <f>SUM('1.งบบุคลากร'!F72+'2.งบดำเนินงาน'!R72+'3.งบลงทุน'!F72+'4.งบอุดหนุน'!F72+'5.งบรายจ่ายอื่น'!BF72)</f>
        <v>4420851.3900000006</v>
      </c>
      <c r="H72" s="56">
        <f t="shared" ref="H72:H82" si="4">SUM(F72*100/C72)</f>
        <v>60.954344723695669</v>
      </c>
      <c r="I72" s="55"/>
    </row>
    <row r="73" spans="1:9" s="27" customFormat="1" x14ac:dyDescent="0.55000000000000004">
      <c r="A73" s="57">
        <v>67</v>
      </c>
      <c r="B73" s="58" t="s">
        <v>71</v>
      </c>
      <c r="C73" s="56">
        <f>SUM('1.งบบุคลากร'!C73+'2.งบดำเนินงาน'!O73+'3.งบลงทุน'!C73+'4.งบอุดหนุน'!C73+'5.งบรายจ่ายอื่น'!BC73)</f>
        <v>9157948</v>
      </c>
      <c r="D73" s="56">
        <f>SUM('1.งบบุคลากร'!D73+'2.งบดำเนินงาน'!P73+'3.งบลงทุน'!D73+'4.งบอุดหนุน'!D73+'5.งบรายจ่ายอื่น'!BD73)</f>
        <v>2151043</v>
      </c>
      <c r="E73" s="56">
        <f>SUM('1.งบบุคลากร'!E73+'2.งบดำเนินงาน'!Q73+'3.งบลงทุน'!E73+'4.งบอุดหนุน'!E73+'5.งบรายจ่ายอื่น'!BE73)</f>
        <v>3778274.8500000006</v>
      </c>
      <c r="F73" s="56">
        <f t="shared" si="3"/>
        <v>5929317.8500000006</v>
      </c>
      <c r="G73" s="56">
        <f>SUM('1.งบบุคลากร'!F73+'2.งบดำเนินงาน'!R73+'3.งบลงทุน'!F73+'4.งบอุดหนุน'!F73+'5.งบรายจ่ายอื่น'!BF73)</f>
        <v>3228630.1499999994</v>
      </c>
      <c r="H73" s="56">
        <f t="shared" si="4"/>
        <v>64.745048235696473</v>
      </c>
      <c r="I73" s="55"/>
    </row>
    <row r="74" spans="1:9" s="27" customFormat="1" x14ac:dyDescent="0.55000000000000004">
      <c r="A74" s="57">
        <v>68</v>
      </c>
      <c r="B74" s="58" t="s">
        <v>72</v>
      </c>
      <c r="C74" s="56">
        <f>SUM('1.งบบุคลากร'!C74+'2.งบดำเนินงาน'!O74+'3.งบลงทุน'!C74+'4.งบอุดหนุน'!C74+'5.งบรายจ่ายอื่น'!BC74)</f>
        <v>9797540</v>
      </c>
      <c r="D74" s="56">
        <f>SUM('1.งบบุคลากร'!D74+'2.งบดำเนินงาน'!P74+'3.งบลงทุน'!D74+'4.งบอุดหนุน'!D74+'5.งบรายจ่ายอื่น'!BD74)</f>
        <v>1594298</v>
      </c>
      <c r="E74" s="56">
        <f>SUM('1.งบบุคลากร'!E74+'2.งบดำเนินงาน'!Q74+'3.งบลงทุน'!E74+'4.งบอุดหนุน'!E74+'5.งบรายจ่ายอื่น'!BE74)</f>
        <v>5575155.6100000003</v>
      </c>
      <c r="F74" s="56">
        <f t="shared" si="3"/>
        <v>7169453.6100000003</v>
      </c>
      <c r="G74" s="56">
        <f>SUM('1.งบบุคลากร'!F74+'2.งบดำเนินงาน'!R74+'3.งบลงทุน'!F74+'4.งบอุดหนุน'!F74+'5.งบรายจ่ายอื่น'!BF74)</f>
        <v>2628086.3899999997</v>
      </c>
      <c r="H74" s="56">
        <f t="shared" si="4"/>
        <v>73.176058582052235</v>
      </c>
      <c r="I74" s="55"/>
    </row>
    <row r="75" spans="1:9" s="27" customFormat="1" x14ac:dyDescent="0.55000000000000004">
      <c r="A75" s="57">
        <v>69</v>
      </c>
      <c r="B75" s="58" t="s">
        <v>73</v>
      </c>
      <c r="C75" s="56">
        <f>SUM('1.งบบุคลากร'!C75+'2.งบดำเนินงาน'!O75+'3.งบลงทุน'!C75+'4.งบอุดหนุน'!C75+'5.งบรายจ่ายอื่น'!BC75)</f>
        <v>41878995</v>
      </c>
      <c r="D75" s="56">
        <f>SUM('1.งบบุคลากร'!D75+'2.งบดำเนินงาน'!P75+'3.งบลงทุน'!D75+'4.งบอุดหนุน'!D75+'5.งบรายจ่ายอื่น'!BD75)</f>
        <v>10411252</v>
      </c>
      <c r="E75" s="56">
        <f>SUM('1.งบบุคลากร'!E75+'2.งบดำเนินงาน'!Q75+'3.งบลงทุน'!E75+'4.งบอุดหนุน'!E75+'5.งบรายจ่ายอื่น'!BE75)</f>
        <v>28071640.569999997</v>
      </c>
      <c r="F75" s="56">
        <f t="shared" si="3"/>
        <v>38482892.569999993</v>
      </c>
      <c r="G75" s="56">
        <f>SUM('1.งบบุคลากร'!F75+'2.งบดำเนินงาน'!R75+'3.งบลงทุน'!F75+'4.งบอุดหนุน'!F75+'5.งบรายจ่ายอื่น'!BF75)</f>
        <v>3396102.43</v>
      </c>
      <c r="H75" s="56">
        <f t="shared" si="4"/>
        <v>91.890678298273372</v>
      </c>
      <c r="I75" s="55"/>
    </row>
    <row r="76" spans="1:9" s="27" customFormat="1" x14ac:dyDescent="0.55000000000000004">
      <c r="A76" s="57">
        <v>70</v>
      </c>
      <c r="B76" s="58" t="s">
        <v>74</v>
      </c>
      <c r="C76" s="56">
        <f>SUM('1.งบบุคลากร'!C76+'2.งบดำเนินงาน'!O76+'3.งบลงทุน'!C76+'4.งบอุดหนุน'!C76+'5.งบรายจ่ายอื่น'!BC76)</f>
        <v>8522012</v>
      </c>
      <c r="D76" s="56">
        <f>SUM('1.งบบุคลากร'!D76+'2.งบดำเนินงาน'!P76+'3.งบลงทุน'!D76+'4.งบอุดหนุน'!D76+'5.งบรายจ่ายอื่น'!BD76)</f>
        <v>2585590</v>
      </c>
      <c r="E76" s="56">
        <f>SUM('1.งบบุคลากร'!E76+'2.งบดำเนินงาน'!Q76+'3.งบลงทุน'!E76+'4.งบอุดหนุน'!E76+'5.งบรายจ่ายอื่น'!BE76)</f>
        <v>3403957.17</v>
      </c>
      <c r="F76" s="56">
        <f t="shared" si="3"/>
        <v>5989547.1699999999</v>
      </c>
      <c r="G76" s="56">
        <f>SUM('1.งบบุคลากร'!F76+'2.งบดำเนินงาน'!R76+'3.งบลงทุน'!F76+'4.งบอุดหนุน'!F76+'5.งบรายจ่ายอื่น'!BF76)</f>
        <v>2532464.83</v>
      </c>
      <c r="H76" s="56">
        <f t="shared" si="4"/>
        <v>70.283252006685743</v>
      </c>
      <c r="I76" s="55"/>
    </row>
    <row r="77" spans="1:9" s="27" customFormat="1" x14ac:dyDescent="0.55000000000000004">
      <c r="A77" s="57">
        <v>71</v>
      </c>
      <c r="B77" s="58" t="s">
        <v>75</v>
      </c>
      <c r="C77" s="56">
        <f>SUM('1.งบบุคลากร'!C77+'2.งบดำเนินงาน'!O77+'3.งบลงทุน'!C77+'4.งบอุดหนุน'!C77+'5.งบรายจ่ายอื่น'!BC77)</f>
        <v>17604772</v>
      </c>
      <c r="D77" s="56">
        <f>SUM('1.งบบุคลากร'!D77+'2.งบดำเนินงาน'!P77+'3.งบลงทุน'!D77+'4.งบอุดหนุน'!D77+'5.งบรายจ่ายอื่น'!BD77)</f>
        <v>992500</v>
      </c>
      <c r="E77" s="56">
        <f>SUM('1.งบบุคลากร'!E77+'2.งบดำเนินงาน'!Q77+'3.งบลงทุน'!E77+'4.งบอุดหนุน'!E77+'5.งบรายจ่ายอื่น'!BE77)</f>
        <v>3974131.58</v>
      </c>
      <c r="F77" s="56">
        <f t="shared" si="3"/>
        <v>4966631.58</v>
      </c>
      <c r="G77" s="56">
        <f>SUM('1.งบบุคลากร'!F77+'2.งบดำเนินงาน'!R77+'3.งบลงทุน'!F77+'4.งบอุดหนุน'!F77+'5.งบรายจ่ายอื่น'!BF77)</f>
        <v>12638140.42</v>
      </c>
      <c r="H77" s="56">
        <f t="shared" si="4"/>
        <v>28.211848355661751</v>
      </c>
      <c r="I77" s="55"/>
    </row>
    <row r="78" spans="1:9" s="27" customFormat="1" x14ac:dyDescent="0.55000000000000004">
      <c r="A78" s="57">
        <v>72</v>
      </c>
      <c r="B78" s="58" t="s">
        <v>76</v>
      </c>
      <c r="C78" s="56">
        <f>SUM('1.งบบุคลากร'!C78+'2.งบดำเนินงาน'!O78+'3.งบลงทุน'!C78+'4.งบอุดหนุน'!C78+'5.งบรายจ่ายอื่น'!BC78)</f>
        <v>8803169</v>
      </c>
      <c r="D78" s="56">
        <f>SUM('1.งบบุคลากร'!D78+'2.งบดำเนินงาน'!P78+'3.งบลงทุน'!D78+'4.งบอุดหนุน'!D78+'5.งบรายจ่ายอื่น'!BD78)</f>
        <v>30000</v>
      </c>
      <c r="E78" s="56">
        <f>SUM('1.งบบุคลากร'!E78+'2.งบดำเนินงาน'!Q78+'3.งบลงทุน'!E78+'4.งบอุดหนุน'!E78+'5.งบรายจ่ายอื่น'!BE78)</f>
        <v>4440667.62</v>
      </c>
      <c r="F78" s="56">
        <f t="shared" si="3"/>
        <v>4470667.62</v>
      </c>
      <c r="G78" s="56">
        <f>SUM('1.งบบุคลากร'!F78+'2.งบดำเนินงาน'!R78+'3.งบลงทุน'!F78+'4.งบอุดหนุน'!F78+'5.งบรายจ่ายอื่น'!BF78)</f>
        <v>4332501.38</v>
      </c>
      <c r="H78" s="56">
        <f t="shared" si="4"/>
        <v>50.784752854341434</v>
      </c>
      <c r="I78" s="55"/>
    </row>
    <row r="79" spans="1:9" s="27" customFormat="1" x14ac:dyDescent="0.55000000000000004">
      <c r="A79" s="57">
        <v>73</v>
      </c>
      <c r="B79" s="58" t="s">
        <v>77</v>
      </c>
      <c r="C79" s="56">
        <f>SUM('1.งบบุคลากร'!C79+'2.งบดำเนินงาน'!O79+'3.งบลงทุน'!C79+'4.งบอุดหนุน'!C79+'5.งบรายจ่ายอื่น'!BC79)</f>
        <v>20736281</v>
      </c>
      <c r="D79" s="56">
        <f>SUM('1.งบบุคลากร'!D79+'2.งบดำเนินงาน'!P79+'3.งบลงทุน'!D79+'4.งบอุดหนุน'!D79+'5.งบรายจ่ายอื่น'!BD79)</f>
        <v>6491110</v>
      </c>
      <c r="E79" s="56">
        <f>SUM('1.งบบุคลากร'!E79+'2.งบดำเนินงาน'!Q79+'3.งบลงทุน'!E79+'4.งบอุดหนุน'!E79+'5.งบรายจ่ายอื่น'!BE79)</f>
        <v>6918279.2699999996</v>
      </c>
      <c r="F79" s="56">
        <f t="shared" si="3"/>
        <v>13409389.27</v>
      </c>
      <c r="G79" s="56">
        <f>SUM('1.งบบุคลากร'!F79+'2.งบดำเนินงาน'!R79+'3.งบลงทุน'!F79+'4.งบอุดหนุน'!F79+'5.งบรายจ่ายอื่น'!BF79)</f>
        <v>7326891.7300000004</v>
      </c>
      <c r="H79" s="56">
        <f t="shared" si="4"/>
        <v>64.666317311189985</v>
      </c>
      <c r="I79" s="55"/>
    </row>
    <row r="80" spans="1:9" s="27" customFormat="1" x14ac:dyDescent="0.55000000000000004">
      <c r="A80" s="57">
        <v>74</v>
      </c>
      <c r="B80" s="58" t="s">
        <v>78</v>
      </c>
      <c r="C80" s="56">
        <f>SUM('1.งบบุคลากร'!C80+'2.งบดำเนินงาน'!O80+'3.งบลงทุน'!C80+'4.งบอุดหนุน'!C80+'5.งบรายจ่ายอื่น'!BC80)</f>
        <v>18147390</v>
      </c>
      <c r="D80" s="56">
        <f>SUM('1.งบบุคลากร'!D80+'2.งบดำเนินงาน'!P80+'3.งบลงทุน'!D80+'4.งบอุดหนุน'!D80+'5.งบรายจ่ายอื่น'!BD80)</f>
        <v>4091622.8</v>
      </c>
      <c r="E80" s="56">
        <f>SUM('1.งบบุคลากร'!E80+'2.งบดำเนินงาน'!Q80+'3.งบลงทุน'!E80+'4.งบอุดหนุน'!E80+'5.งบรายจ่ายอื่น'!BE80)</f>
        <v>7951910.2800000003</v>
      </c>
      <c r="F80" s="56">
        <f t="shared" si="3"/>
        <v>12043533.08</v>
      </c>
      <c r="G80" s="56">
        <f>SUM('1.งบบุคลากร'!F80+'2.งบดำเนินงาน'!R80+'3.งบลงทุน'!F80+'4.งบอุดหนุน'!F80+'5.งบรายจ่ายอื่น'!BF80)</f>
        <v>6103856.9199999999</v>
      </c>
      <c r="H80" s="56">
        <f t="shared" si="4"/>
        <v>66.365097570504631</v>
      </c>
      <c r="I80" s="55"/>
    </row>
    <row r="81" spans="1:9" s="27" customFormat="1" x14ac:dyDescent="0.55000000000000004">
      <c r="A81" s="57">
        <v>75</v>
      </c>
      <c r="B81" s="58" t="s">
        <v>79</v>
      </c>
      <c r="C81" s="56">
        <f>SUM('1.งบบุคลากร'!C81+'2.งบดำเนินงาน'!O81+'3.งบลงทุน'!C81+'4.งบอุดหนุน'!C81+'5.งบรายจ่ายอื่น'!BC81)</f>
        <v>45297222</v>
      </c>
      <c r="D81" s="56">
        <f>SUM('1.งบบุคลากร'!D81+'2.งบดำเนินงาน'!P81+'3.งบลงทุน'!D81+'4.งบอุดหนุน'!D81+'5.งบรายจ่ายอื่น'!BD81)</f>
        <v>31198357</v>
      </c>
      <c r="E81" s="56">
        <f>SUM('1.งบบุคลากร'!E81+'2.งบดำเนินงาน'!Q81+'3.งบลงทุน'!E81+'4.งบอุดหนุน'!E81+'5.งบรายจ่ายอื่น'!BE81)</f>
        <v>8470920.0999999996</v>
      </c>
      <c r="F81" s="56">
        <f t="shared" si="3"/>
        <v>39669277.100000001</v>
      </c>
      <c r="G81" s="56">
        <f>SUM('1.งบบุคลากร'!F81+'2.งบดำเนินงาน'!R81+'3.งบลงทุน'!F81+'4.งบอุดหนุน'!F81+'5.งบรายจ่ายอื่น'!BF81)</f>
        <v>5627944.9000000004</v>
      </c>
      <c r="H81" s="56">
        <f t="shared" si="4"/>
        <v>87.57551864880368</v>
      </c>
      <c r="I81" s="55"/>
    </row>
    <row r="82" spans="1:9" s="27" customFormat="1" x14ac:dyDescent="0.55000000000000004">
      <c r="A82" s="57">
        <v>76</v>
      </c>
      <c r="B82" s="58" t="s">
        <v>80</v>
      </c>
      <c r="C82" s="56">
        <f>SUM('1.งบบุคลากร'!C82+'2.งบดำเนินงาน'!O82+'3.งบลงทุน'!C82+'4.งบอุดหนุน'!C82+'5.งบรายจ่ายอื่น'!BC82)</f>
        <v>10073481</v>
      </c>
      <c r="D82" s="56">
        <f>SUM('1.งบบุคลากร'!D82+'2.งบดำเนินงาน'!P82+'3.งบลงทุน'!D82+'4.งบอุดหนุน'!D82+'5.งบรายจ่ายอื่น'!BD82)</f>
        <v>542840</v>
      </c>
      <c r="E82" s="56">
        <f>SUM('1.งบบุคลากร'!E82+'2.งบดำเนินงาน'!Q82+'3.งบลงทุน'!E82+'4.งบอุดหนุน'!E82+'5.งบรายจ่ายอื่น'!BE82)</f>
        <v>5016813.1500000004</v>
      </c>
      <c r="F82" s="56">
        <f t="shared" si="3"/>
        <v>5559653.1500000004</v>
      </c>
      <c r="G82" s="56">
        <f>SUM('1.งบบุคลากร'!F82+'2.งบดำเนินงาน'!R82+'3.งบลงทุน'!F82+'4.งบอุดหนุน'!F82+'5.งบรายจ่ายอื่น'!BF82)</f>
        <v>4513827.8499999996</v>
      </c>
      <c r="H82" s="56">
        <f t="shared" si="4"/>
        <v>55.190982640459637</v>
      </c>
      <c r="I82" s="55"/>
    </row>
    <row r="83" spans="1:9" x14ac:dyDescent="0.55000000000000004">
      <c r="C83" s="15"/>
      <c r="D83" s="15"/>
    </row>
    <row r="84" spans="1:9" x14ac:dyDescent="0.55000000000000004">
      <c r="C84" s="15"/>
      <c r="D84" s="15"/>
    </row>
    <row r="85" spans="1:9" x14ac:dyDescent="0.55000000000000004">
      <c r="C85" s="25"/>
      <c r="D85" s="25"/>
    </row>
    <row r="86" spans="1:9" x14ac:dyDescent="0.55000000000000004">
      <c r="C86" s="25"/>
      <c r="D86" s="25"/>
    </row>
    <row r="87" spans="1:9" x14ac:dyDescent="0.55000000000000004">
      <c r="C87" s="15"/>
      <c r="D87" s="15"/>
    </row>
  </sheetData>
  <sheetProtection selectLockedCells="1"/>
  <mergeCells count="5">
    <mergeCell ref="A1:H1"/>
    <mergeCell ref="A2:H2"/>
    <mergeCell ref="A4:A5"/>
    <mergeCell ref="B4:B5"/>
    <mergeCell ref="C4:H4"/>
  </mergeCells>
  <pageMargins left="0.25" right="0.25" top="0.75" bottom="0.75" header="0.3" footer="0.3"/>
  <pageSetup paperSize="9" scale="82" fitToHeight="0" orientation="landscape" r:id="rId1"/>
  <rowBreaks count="4" manualBreakCount="4">
    <brk id="22" max="7" man="1"/>
    <brk id="39" max="7" man="1"/>
    <brk id="56" max="7" man="1"/>
    <brk id="73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86"/>
  <sheetViews>
    <sheetView topLeftCell="A4" workbookViewId="0">
      <selection activeCell="C9" sqref="C9"/>
    </sheetView>
  </sheetViews>
  <sheetFormatPr defaultColWidth="9" defaultRowHeight="24" x14ac:dyDescent="0.55000000000000004"/>
  <cols>
    <col min="1" max="1" width="6.875" style="7" customWidth="1"/>
    <col min="2" max="2" width="13.375" style="14" customWidth="1"/>
    <col min="3" max="4" width="13.375" style="20" customWidth="1"/>
    <col min="5" max="5" width="13.375" style="14" customWidth="1"/>
    <col min="6" max="20" width="16.125" style="7" customWidth="1"/>
    <col min="21" max="21" width="15.125" style="7" customWidth="1"/>
    <col min="22" max="22" width="13.625" style="7" customWidth="1"/>
    <col min="23" max="53" width="16.125" style="7" customWidth="1"/>
    <col min="54" max="54" width="17.625" style="7" customWidth="1"/>
    <col min="55" max="55" width="16.125" style="7" customWidth="1"/>
    <col min="56" max="57" width="17.625" style="7" customWidth="1"/>
    <col min="58" max="58" width="16.125" style="7" customWidth="1"/>
    <col min="59" max="59" width="17.625" style="7" customWidth="1"/>
    <col min="60" max="60" width="13.375" style="7" hidden="1" customWidth="1"/>
    <col min="61" max="61" width="13.625" style="7" hidden="1" customWidth="1"/>
    <col min="62" max="62" width="16.125" style="7" hidden="1" customWidth="1"/>
    <col min="63" max="63" width="15.625" style="7" bestFit="1" customWidth="1"/>
    <col min="64" max="16384" width="9" style="7"/>
  </cols>
  <sheetData>
    <row r="1" spans="1:63" s="5" customFormat="1" ht="27.75" x14ac:dyDescent="0.65">
      <c r="A1" s="22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63" s="5" customFormat="1" ht="27.75" x14ac:dyDescent="0.65">
      <c r="A2" s="95" t="s">
        <v>108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</row>
    <row r="3" spans="1:63" s="5" customFormat="1" x14ac:dyDescent="0.55000000000000004">
      <c r="A3" s="6"/>
      <c r="B3" s="6"/>
      <c r="C3" s="16"/>
      <c r="D3" s="16"/>
      <c r="E3" s="6"/>
      <c r="R3" s="6"/>
      <c r="S3" s="6"/>
      <c r="U3" s="6"/>
      <c r="V3" s="6"/>
      <c r="W3" s="6"/>
    </row>
    <row r="4" spans="1:63" x14ac:dyDescent="0.55000000000000004">
      <c r="A4" s="96" t="s">
        <v>0</v>
      </c>
      <c r="B4" s="96" t="s">
        <v>1</v>
      </c>
      <c r="C4" s="99" t="s">
        <v>87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100"/>
      <c r="BF4" s="101"/>
      <c r="BG4" s="102"/>
      <c r="BH4" s="124" t="s">
        <v>83</v>
      </c>
      <c r="BI4" s="125"/>
      <c r="BJ4" s="126"/>
    </row>
    <row r="5" spans="1:63" x14ac:dyDescent="0.55000000000000004">
      <c r="A5" s="97"/>
      <c r="B5" s="97"/>
      <c r="C5" s="103" t="s">
        <v>103</v>
      </c>
      <c r="D5" s="104"/>
      <c r="E5" s="105"/>
      <c r="F5" s="100" t="s">
        <v>92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  <c r="R5" s="100" t="s">
        <v>94</v>
      </c>
      <c r="S5" s="101"/>
      <c r="T5" s="102"/>
      <c r="U5" s="106" t="s">
        <v>95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8"/>
      <c r="BB5" s="106" t="s">
        <v>85</v>
      </c>
      <c r="BC5" s="107"/>
      <c r="BD5" s="108"/>
      <c r="BE5" s="127" t="s">
        <v>82</v>
      </c>
      <c r="BF5" s="127"/>
      <c r="BG5" s="127"/>
      <c r="BH5" s="8"/>
      <c r="BI5" s="9"/>
      <c r="BJ5" s="10"/>
    </row>
    <row r="6" spans="1:63" ht="47.25" customHeight="1" x14ac:dyDescent="0.55000000000000004">
      <c r="A6" s="97"/>
      <c r="B6" s="97"/>
      <c r="C6" s="112" t="s">
        <v>102</v>
      </c>
      <c r="D6" s="113"/>
      <c r="E6" s="114"/>
      <c r="F6" s="112" t="s">
        <v>89</v>
      </c>
      <c r="G6" s="113"/>
      <c r="H6" s="114"/>
      <c r="I6" s="115" t="s">
        <v>91</v>
      </c>
      <c r="J6" s="116"/>
      <c r="K6" s="117"/>
      <c r="L6" s="112" t="s">
        <v>90</v>
      </c>
      <c r="M6" s="113"/>
      <c r="N6" s="114"/>
      <c r="O6" s="109" t="s">
        <v>93</v>
      </c>
      <c r="P6" s="110"/>
      <c r="Q6" s="111"/>
      <c r="R6" s="118" t="s">
        <v>97</v>
      </c>
      <c r="S6" s="119"/>
      <c r="T6" s="120"/>
      <c r="U6" s="115" t="s">
        <v>81</v>
      </c>
      <c r="V6" s="116"/>
      <c r="W6" s="117"/>
      <c r="X6" s="112" t="s">
        <v>86</v>
      </c>
      <c r="Y6" s="113"/>
      <c r="Z6" s="114"/>
      <c r="AA6" s="112" t="s">
        <v>98</v>
      </c>
      <c r="AB6" s="113"/>
      <c r="AC6" s="114"/>
      <c r="AD6" s="112" t="s">
        <v>99</v>
      </c>
      <c r="AE6" s="113"/>
      <c r="AF6" s="114"/>
      <c r="AG6" s="109" t="s">
        <v>100</v>
      </c>
      <c r="AH6" s="110"/>
      <c r="AI6" s="111"/>
      <c r="AJ6" s="112" t="s">
        <v>101</v>
      </c>
      <c r="AK6" s="113"/>
      <c r="AL6" s="114"/>
      <c r="AM6" s="112" t="s">
        <v>106</v>
      </c>
      <c r="AN6" s="113"/>
      <c r="AO6" s="114"/>
      <c r="AP6" s="112" t="s">
        <v>104</v>
      </c>
      <c r="AQ6" s="113"/>
      <c r="AR6" s="114"/>
      <c r="AS6" s="115" t="s">
        <v>105</v>
      </c>
      <c r="AT6" s="116"/>
      <c r="AU6" s="117"/>
      <c r="AV6" s="115" t="s">
        <v>107</v>
      </c>
      <c r="AW6" s="116"/>
      <c r="AX6" s="117"/>
      <c r="AY6" s="109" t="s">
        <v>96</v>
      </c>
      <c r="AZ6" s="110"/>
      <c r="BA6" s="111"/>
      <c r="BB6" s="109" t="s">
        <v>85</v>
      </c>
      <c r="BC6" s="110"/>
      <c r="BD6" s="111"/>
      <c r="BE6" s="127"/>
      <c r="BF6" s="127"/>
      <c r="BG6" s="127"/>
      <c r="BH6" s="121" t="s">
        <v>84</v>
      </c>
      <c r="BI6" s="122"/>
      <c r="BJ6" s="123"/>
    </row>
    <row r="7" spans="1:63" x14ac:dyDescent="0.55000000000000004">
      <c r="A7" s="98"/>
      <c r="B7" s="98"/>
      <c r="C7" s="17" t="s">
        <v>2</v>
      </c>
      <c r="D7" s="17" t="s">
        <v>3</v>
      </c>
      <c r="E7" s="24" t="s">
        <v>4</v>
      </c>
      <c r="F7" s="24" t="s">
        <v>2</v>
      </c>
      <c r="G7" s="24" t="s">
        <v>3</v>
      </c>
      <c r="H7" s="24" t="s">
        <v>4</v>
      </c>
      <c r="I7" s="24" t="s">
        <v>2</v>
      </c>
      <c r="J7" s="24" t="s">
        <v>3</v>
      </c>
      <c r="K7" s="24" t="s">
        <v>4</v>
      </c>
      <c r="L7" s="24" t="s">
        <v>2</v>
      </c>
      <c r="M7" s="24" t="s">
        <v>3</v>
      </c>
      <c r="N7" s="24" t="s">
        <v>4</v>
      </c>
      <c r="O7" s="24" t="s">
        <v>2</v>
      </c>
      <c r="P7" s="24" t="s">
        <v>3</v>
      </c>
      <c r="Q7" s="24" t="s">
        <v>4</v>
      </c>
      <c r="R7" s="24" t="s">
        <v>2</v>
      </c>
      <c r="S7" s="24" t="s">
        <v>3</v>
      </c>
      <c r="T7" s="24" t="s">
        <v>4</v>
      </c>
      <c r="U7" s="24" t="s">
        <v>2</v>
      </c>
      <c r="V7" s="24" t="s">
        <v>3</v>
      </c>
      <c r="W7" s="24" t="s">
        <v>4</v>
      </c>
      <c r="X7" s="24" t="s">
        <v>2</v>
      </c>
      <c r="Y7" s="24" t="s">
        <v>3</v>
      </c>
      <c r="Z7" s="24" t="s">
        <v>4</v>
      </c>
      <c r="AA7" s="24" t="s">
        <v>2</v>
      </c>
      <c r="AB7" s="24" t="s">
        <v>3</v>
      </c>
      <c r="AC7" s="24" t="s">
        <v>4</v>
      </c>
      <c r="AD7" s="24" t="s">
        <v>2</v>
      </c>
      <c r="AE7" s="24" t="s">
        <v>3</v>
      </c>
      <c r="AF7" s="24" t="s">
        <v>4</v>
      </c>
      <c r="AG7" s="24" t="s">
        <v>2</v>
      </c>
      <c r="AH7" s="24" t="s">
        <v>3</v>
      </c>
      <c r="AI7" s="24" t="s">
        <v>4</v>
      </c>
      <c r="AJ7" s="24" t="s">
        <v>2</v>
      </c>
      <c r="AK7" s="24" t="s">
        <v>3</v>
      </c>
      <c r="AL7" s="24" t="s">
        <v>4</v>
      </c>
      <c r="AM7" s="24" t="s">
        <v>2</v>
      </c>
      <c r="AN7" s="24" t="s">
        <v>3</v>
      </c>
      <c r="AO7" s="24" t="s">
        <v>4</v>
      </c>
      <c r="AP7" s="24" t="s">
        <v>2</v>
      </c>
      <c r="AQ7" s="24" t="s">
        <v>3</v>
      </c>
      <c r="AR7" s="24" t="s">
        <v>4</v>
      </c>
      <c r="AS7" s="24" t="s">
        <v>2</v>
      </c>
      <c r="AT7" s="24" t="s">
        <v>3</v>
      </c>
      <c r="AU7" s="24" t="s">
        <v>4</v>
      </c>
      <c r="AV7" s="24" t="s">
        <v>2</v>
      </c>
      <c r="AW7" s="24" t="s">
        <v>3</v>
      </c>
      <c r="AX7" s="24" t="s">
        <v>4</v>
      </c>
      <c r="AY7" s="24" t="s">
        <v>2</v>
      </c>
      <c r="AZ7" s="24" t="s">
        <v>3</v>
      </c>
      <c r="BA7" s="24" t="s">
        <v>4</v>
      </c>
      <c r="BB7" s="24" t="s">
        <v>2</v>
      </c>
      <c r="BC7" s="24" t="s">
        <v>3</v>
      </c>
      <c r="BD7" s="24" t="s">
        <v>4</v>
      </c>
      <c r="BE7" s="24" t="s">
        <v>2</v>
      </c>
      <c r="BF7" s="24" t="s">
        <v>3</v>
      </c>
      <c r="BG7" s="24" t="s">
        <v>4</v>
      </c>
      <c r="BH7" s="23" t="s">
        <v>2</v>
      </c>
      <c r="BI7" s="23" t="s">
        <v>3</v>
      </c>
      <c r="BJ7" s="23" t="s">
        <v>4</v>
      </c>
    </row>
    <row r="8" spans="1:63" x14ac:dyDescent="0.55000000000000004">
      <c r="A8" s="3" t="s">
        <v>82</v>
      </c>
      <c r="B8" s="4"/>
      <c r="C8" s="18">
        <f>SUM(C9:C84)</f>
        <v>42223358</v>
      </c>
      <c r="D8" s="18">
        <f>SUM(D9:D84)</f>
        <v>20874284.300000001</v>
      </c>
      <c r="E8" s="1">
        <f>SUM(C8-D8)</f>
        <v>21349073.699999999</v>
      </c>
      <c r="F8" s="1">
        <f>SUM(F9:F84)</f>
        <v>44677800</v>
      </c>
      <c r="G8" s="1">
        <f>SUM(G9:G84)</f>
        <v>10928379.369999999</v>
      </c>
      <c r="H8" s="1">
        <f>SUM(F8-G8)</f>
        <v>33749420.630000003</v>
      </c>
      <c r="I8" s="1">
        <f>SUM(I9:I84)</f>
        <v>14688118</v>
      </c>
      <c r="J8" s="1">
        <f>SUM(J9:J84)</f>
        <v>5938571.2200000007</v>
      </c>
      <c r="K8" s="1">
        <f>SUM(I8-J8)</f>
        <v>8749546.7799999993</v>
      </c>
      <c r="L8" s="1">
        <f>SUM(L9:L84)</f>
        <v>84242506</v>
      </c>
      <c r="M8" s="1">
        <f>SUM(M9:M84)</f>
        <v>20252926.379999995</v>
      </c>
      <c r="N8" s="1">
        <f>SUM(L8-M8)</f>
        <v>63989579.620000005</v>
      </c>
      <c r="O8" s="1">
        <f>SUM(F8+I8+L8)</f>
        <v>143608424</v>
      </c>
      <c r="P8" s="1">
        <f t="shared" ref="P8:P71" si="0">SUM(G8+J8+M8)</f>
        <v>37119876.969999999</v>
      </c>
      <c r="Q8" s="1">
        <f>SUM(O8-P8)</f>
        <v>106488547.03</v>
      </c>
      <c r="R8" s="1">
        <f>SUM(R9:R84)</f>
        <v>2420000</v>
      </c>
      <c r="S8" s="1">
        <f>SUM(S9:S84)</f>
        <v>120000</v>
      </c>
      <c r="T8" s="1">
        <f>SUM(R8-S8)</f>
        <v>2300000</v>
      </c>
      <c r="U8" s="1">
        <f>SUM(U9:U84)</f>
        <v>24423760</v>
      </c>
      <c r="V8" s="1">
        <f>SUM(V9:V84)</f>
        <v>18478938</v>
      </c>
      <c r="W8" s="1">
        <f>SUM(U8-V8)</f>
        <v>5944822</v>
      </c>
      <c r="X8" s="1">
        <f>SUM(X9:X84)</f>
        <v>5000000</v>
      </c>
      <c r="Y8" s="1">
        <f>SUM(Y9:Y84)</f>
        <v>189075</v>
      </c>
      <c r="Z8" s="1">
        <f>SUM(X8-Y8)</f>
        <v>4810925</v>
      </c>
      <c r="AA8" s="1">
        <f>SUM(AA9:AA84)</f>
        <v>6840000</v>
      </c>
      <c r="AB8" s="1">
        <f>SUM(AB9:AB84)</f>
        <v>2308234.98</v>
      </c>
      <c r="AC8" s="1">
        <f>SUM(AA8-AB8)</f>
        <v>4531765.0199999996</v>
      </c>
      <c r="AD8" s="1">
        <f>SUM(AD9:AD84)</f>
        <v>30400000</v>
      </c>
      <c r="AE8" s="1">
        <f>SUM(AE9:AE84)</f>
        <v>2609660</v>
      </c>
      <c r="AF8" s="1">
        <f>SUM(AD8-AE8)</f>
        <v>27790340</v>
      </c>
      <c r="AG8" s="1">
        <f>SUM(AG9:AG84)</f>
        <v>76980400</v>
      </c>
      <c r="AH8" s="1">
        <f>SUM(AH9:AH84)</f>
        <v>14773653.85</v>
      </c>
      <c r="AI8" s="1">
        <f>SUM(AG8-AH8)</f>
        <v>62206746.149999999</v>
      </c>
      <c r="AJ8" s="1">
        <f>SUM(AJ9:AJ84)</f>
        <v>11582400</v>
      </c>
      <c r="AK8" s="1">
        <f>SUM(AK9:AK84)</f>
        <v>1547142.1600000004</v>
      </c>
      <c r="AL8" s="1">
        <f>SUM(AJ8-AK8)</f>
        <v>10035257.84</v>
      </c>
      <c r="AM8" s="1">
        <f>SUM(AM9:AM84)</f>
        <v>115288083</v>
      </c>
      <c r="AN8" s="1">
        <f>SUM(AN9:AN84)</f>
        <v>833802.7</v>
      </c>
      <c r="AO8" s="1">
        <f>SUM(AM8-AN8)</f>
        <v>114454280.3</v>
      </c>
      <c r="AP8" s="1">
        <f>SUM(AP9:AP84)</f>
        <v>29184000</v>
      </c>
      <c r="AQ8" s="1">
        <f>SUM(AQ9:AQ84)</f>
        <v>2322156</v>
      </c>
      <c r="AR8" s="1">
        <f>SUM(AP8-AQ8)</f>
        <v>26861844</v>
      </c>
      <c r="AS8" s="1">
        <f>SUM(AS9:AS84)</f>
        <v>2812000</v>
      </c>
      <c r="AT8" s="1">
        <f>SUM(AT9:AT84)</f>
        <v>2130925</v>
      </c>
      <c r="AU8" s="1">
        <f>SUM(AS8-AT8)</f>
        <v>681075</v>
      </c>
      <c r="AV8" s="1">
        <f>SUM(AV9:AV84)</f>
        <v>3236869.5300000003</v>
      </c>
      <c r="AW8" s="1">
        <f>SUM(AW9:AW84)</f>
        <v>3236869.5300000003</v>
      </c>
      <c r="AX8" s="1">
        <f>SUM(AV8-AW8)</f>
        <v>0</v>
      </c>
      <c r="AY8" s="1">
        <f>SUM(AY9:AY84)</f>
        <v>305747512.53000003</v>
      </c>
      <c r="AZ8" s="1">
        <f>SUM(AZ9:AZ84)</f>
        <v>48430457.219999984</v>
      </c>
      <c r="BA8" s="1">
        <f>SUM(AY8-AZ8)</f>
        <v>257317055.31000006</v>
      </c>
      <c r="BB8" s="1">
        <f>SUM(BB9:BB84)</f>
        <v>1515582600</v>
      </c>
      <c r="BC8" s="1">
        <f>SUM(BC9:BC84)</f>
        <v>412262600.46999997</v>
      </c>
      <c r="BD8" s="1">
        <f>SUM(BB8-BC8)</f>
        <v>1103319999.53</v>
      </c>
      <c r="BE8" s="1">
        <f>SUM(C8+O8+R8+AY8+BB8)</f>
        <v>2009581894.53</v>
      </c>
      <c r="BF8" s="1">
        <f t="shared" ref="BF8:BF39" si="1">SUM(P8+S8+AZ8+BC8+D8)</f>
        <v>518807218.95999998</v>
      </c>
      <c r="BG8" s="1">
        <f>SUM(Q8+T8+BA8+BD8)</f>
        <v>1469425601.8699999</v>
      </c>
      <c r="BH8" s="2">
        <f>SUM(BH9:BH84)</f>
        <v>78902000</v>
      </c>
      <c r="BI8" s="23"/>
      <c r="BJ8" s="2">
        <f>SUM(BH8-BI8)</f>
        <v>78902000</v>
      </c>
      <c r="BK8" s="15"/>
    </row>
    <row r="9" spans="1:63" x14ac:dyDescent="0.55000000000000004">
      <c r="A9" s="11">
        <v>1</v>
      </c>
      <c r="B9" s="12" t="s">
        <v>5</v>
      </c>
      <c r="C9" s="19">
        <v>405180</v>
      </c>
      <c r="D9" s="19">
        <v>202590</v>
      </c>
      <c r="E9" s="21">
        <f>SUM(C9-D9)</f>
        <v>202590</v>
      </c>
      <c r="F9" s="13">
        <f>200000+487000</f>
        <v>687000</v>
      </c>
      <c r="G9" s="13">
        <v>83165</v>
      </c>
      <c r="H9" s="13">
        <f>SUM(F9-G9)</f>
        <v>603835</v>
      </c>
      <c r="I9" s="13">
        <f>326400+13500</f>
        <v>339900</v>
      </c>
      <c r="J9" s="13">
        <v>120350</v>
      </c>
      <c r="K9" s="13">
        <f>SUM(I9-J9)</f>
        <v>219550</v>
      </c>
      <c r="L9" s="13">
        <f>219000+248000</f>
        <v>467000</v>
      </c>
      <c r="M9" s="13">
        <v>337149.61</v>
      </c>
      <c r="N9" s="13">
        <f>SUM(L9-M9)</f>
        <v>129850.39000000001</v>
      </c>
      <c r="O9" s="2">
        <f>SUM(F9+I9+L9)</f>
        <v>1493900</v>
      </c>
      <c r="P9" s="2">
        <f t="shared" si="0"/>
        <v>540664.61</v>
      </c>
      <c r="Q9" s="2">
        <f>SUM(O9-P9)</f>
        <v>953235.39</v>
      </c>
      <c r="R9" s="13">
        <v>20000</v>
      </c>
      <c r="S9" s="13">
        <v>0</v>
      </c>
      <c r="T9" s="13">
        <f>SUM(R9-S9)</f>
        <v>20000</v>
      </c>
      <c r="U9" s="13">
        <v>150000</v>
      </c>
      <c r="V9" s="13">
        <v>150000</v>
      </c>
      <c r="W9" s="13">
        <f>SUM(U9-V9)</f>
        <v>0</v>
      </c>
      <c r="X9" s="13">
        <v>0</v>
      </c>
      <c r="Y9" s="13">
        <v>0</v>
      </c>
      <c r="Z9" s="13">
        <f>SUM(X9-Y9)</f>
        <v>0</v>
      </c>
      <c r="AA9" s="13">
        <v>90000</v>
      </c>
      <c r="AB9" s="13">
        <v>11925</v>
      </c>
      <c r="AC9" s="13">
        <f>SUM(AA9-AB9)</f>
        <v>78075</v>
      </c>
      <c r="AD9" s="13">
        <v>122200</v>
      </c>
      <c r="AE9" s="13">
        <v>0</v>
      </c>
      <c r="AF9" s="13">
        <f>SUM(AD9-AE9)</f>
        <v>122200</v>
      </c>
      <c r="AG9" s="13">
        <v>1012900</v>
      </c>
      <c r="AH9" s="13">
        <v>225685</v>
      </c>
      <c r="AI9" s="13">
        <f>SUM(AG9-AH9)</f>
        <v>787215</v>
      </c>
      <c r="AJ9" s="13">
        <v>118800</v>
      </c>
      <c r="AK9" s="13">
        <v>0</v>
      </c>
      <c r="AL9" s="13">
        <f>SUM(AJ9-AK9)</f>
        <v>118800</v>
      </c>
      <c r="AM9" s="13">
        <v>1500000</v>
      </c>
      <c r="AN9" s="13">
        <v>0</v>
      </c>
      <c r="AO9" s="13">
        <f>SUM(AM9-AN9)</f>
        <v>1500000</v>
      </c>
      <c r="AP9" s="13">
        <v>368000</v>
      </c>
      <c r="AQ9" s="13">
        <v>0</v>
      </c>
      <c r="AR9" s="13">
        <f>SUM(AP9-AQ9)</f>
        <v>368000</v>
      </c>
      <c r="AS9" s="13">
        <v>37000</v>
      </c>
      <c r="AT9" s="13">
        <v>0</v>
      </c>
      <c r="AU9" s="13">
        <f>SUM(AS9-AT9)</f>
        <v>37000</v>
      </c>
      <c r="AV9" s="13">
        <v>0</v>
      </c>
      <c r="AW9" s="13">
        <v>0</v>
      </c>
      <c r="AX9" s="13">
        <f>SUM(AV9-AW9)</f>
        <v>0</v>
      </c>
      <c r="AY9" s="2">
        <f>SUM(U9+X9+AA9+AD9+AG9+AJ9+AM9+AP9+AS9+AV9)</f>
        <v>3398900</v>
      </c>
      <c r="AZ9" s="2">
        <f>SUM(V9+Y9+AB9+AE9+AH9+AK9+AN9+AQ9+AT9+AW9)</f>
        <v>387610</v>
      </c>
      <c r="BA9" s="2">
        <f t="shared" ref="BA9:BA72" si="2">SUM(W9+Z9+AC9+AF9+AI9+AL9+AO9)</f>
        <v>2606290</v>
      </c>
      <c r="BB9" s="13">
        <v>0</v>
      </c>
      <c r="BC9" s="13">
        <v>0</v>
      </c>
      <c r="BD9" s="13">
        <f>SUM(BB9-BC9)</f>
        <v>0</v>
      </c>
      <c r="BE9" s="2">
        <f t="shared" ref="BE9:BE40" si="3">SUM(O9+R9+AY9+BB9+C9)</f>
        <v>5317980</v>
      </c>
      <c r="BF9" s="2">
        <f t="shared" si="1"/>
        <v>1130864.6099999999</v>
      </c>
      <c r="BG9" s="2">
        <f>SUM(BE9-BF9)</f>
        <v>4187115.39</v>
      </c>
      <c r="BH9" s="13">
        <v>544000</v>
      </c>
      <c r="BI9" s="13"/>
      <c r="BJ9" s="13">
        <f>SUM(BH9-BI9)</f>
        <v>544000</v>
      </c>
    </row>
    <row r="10" spans="1:63" x14ac:dyDescent="0.55000000000000004">
      <c r="A10" s="11">
        <v>2</v>
      </c>
      <c r="B10" s="12" t="s">
        <v>6</v>
      </c>
      <c r="C10" s="19">
        <v>229380</v>
      </c>
      <c r="D10" s="19">
        <v>114690</v>
      </c>
      <c r="E10" s="21">
        <f t="shared" ref="E10:E73" si="4">SUM(C10-D10)</f>
        <v>114690</v>
      </c>
      <c r="F10" s="13">
        <f>200000+858480</f>
        <v>1058480</v>
      </c>
      <c r="G10" s="13">
        <v>262205</v>
      </c>
      <c r="H10" s="13">
        <f t="shared" ref="H10:H73" si="5">SUM(F10-G10)</f>
        <v>796275</v>
      </c>
      <c r="I10" s="13">
        <f>204000+9000</f>
        <v>213000</v>
      </c>
      <c r="J10" s="13">
        <v>96500</v>
      </c>
      <c r="K10" s="13">
        <f t="shared" ref="K10:K73" si="6">SUM(I10-J10)</f>
        <v>116500</v>
      </c>
      <c r="L10" s="13">
        <f>165000+47080+196000</f>
        <v>408080</v>
      </c>
      <c r="M10" s="13">
        <v>301637.3</v>
      </c>
      <c r="N10" s="13">
        <f t="shared" ref="N10:N73" si="7">SUM(L10-M10)</f>
        <v>106442.70000000001</v>
      </c>
      <c r="O10" s="2">
        <f>SUM(F10+I10+L10)</f>
        <v>1679560</v>
      </c>
      <c r="P10" s="2">
        <f t="shared" si="0"/>
        <v>660342.30000000005</v>
      </c>
      <c r="Q10" s="2">
        <f t="shared" ref="Q10:Q73" si="8">SUM(O10-P10)</f>
        <v>1019217.7</v>
      </c>
      <c r="R10" s="13">
        <v>20000</v>
      </c>
      <c r="S10" s="13">
        <v>20000</v>
      </c>
      <c r="T10" s="13">
        <f>SUM(R10-S10)</f>
        <v>0</v>
      </c>
      <c r="U10" s="13">
        <f>150000+250000</f>
        <v>400000</v>
      </c>
      <c r="V10" s="13">
        <v>150000</v>
      </c>
      <c r="W10" s="13">
        <f>SUM(U10-V10)</f>
        <v>250000</v>
      </c>
      <c r="X10" s="13">
        <v>0</v>
      </c>
      <c r="Y10" s="13">
        <v>0</v>
      </c>
      <c r="Z10" s="13">
        <f t="shared" ref="Z10:Z73" si="9">SUM(X10-Y10)</f>
        <v>0</v>
      </c>
      <c r="AA10" s="13">
        <v>90000</v>
      </c>
      <c r="AB10" s="13">
        <v>20000</v>
      </c>
      <c r="AC10" s="13">
        <f>SUM(AA10-AB10)</f>
        <v>70000</v>
      </c>
      <c r="AD10" s="13">
        <v>443200</v>
      </c>
      <c r="AE10" s="13">
        <v>0</v>
      </c>
      <c r="AF10" s="13">
        <f t="shared" ref="AF10:AF73" si="10">SUM(AD10-AE10)</f>
        <v>443200</v>
      </c>
      <c r="AG10" s="13">
        <v>1012900</v>
      </c>
      <c r="AH10" s="13">
        <v>202485</v>
      </c>
      <c r="AI10" s="13">
        <f>SUM(AG10-AH10)</f>
        <v>810415</v>
      </c>
      <c r="AJ10" s="13">
        <v>118800</v>
      </c>
      <c r="AK10" s="13">
        <v>10000</v>
      </c>
      <c r="AL10" s="13">
        <f t="shared" ref="AL10:AL73" si="11">SUM(AJ10-AK10)</f>
        <v>108800</v>
      </c>
      <c r="AM10" s="13">
        <v>1500000</v>
      </c>
      <c r="AN10" s="13">
        <v>0</v>
      </c>
      <c r="AO10" s="13">
        <f>SUM(AM10-AN10)</f>
        <v>1500000</v>
      </c>
      <c r="AP10" s="13">
        <v>368000</v>
      </c>
      <c r="AQ10" s="13">
        <v>195000</v>
      </c>
      <c r="AR10" s="13">
        <f>SUM(AP10-AQ10)</f>
        <v>173000</v>
      </c>
      <c r="AS10" s="13">
        <v>37000</v>
      </c>
      <c r="AT10" s="13">
        <v>37000</v>
      </c>
      <c r="AU10" s="13">
        <f t="shared" ref="AU10:AU73" si="12">SUM(AS10-AT10)</f>
        <v>0</v>
      </c>
      <c r="AV10" s="13">
        <v>0</v>
      </c>
      <c r="AW10" s="13">
        <v>0</v>
      </c>
      <c r="AX10" s="13">
        <f>SUM(AV10-AW10)</f>
        <v>0</v>
      </c>
      <c r="AY10" s="2">
        <f t="shared" ref="AY10:AZ73" si="13">SUM(U10+X10+AA10+AD10+AG10+AJ10+AM10+AP10+AS10+AV10)</f>
        <v>3969900</v>
      </c>
      <c r="AZ10" s="2">
        <f t="shared" si="13"/>
        <v>614485</v>
      </c>
      <c r="BA10" s="2">
        <f t="shared" si="2"/>
        <v>3182415</v>
      </c>
      <c r="BB10" s="13">
        <v>0</v>
      </c>
      <c r="BC10" s="13">
        <v>0</v>
      </c>
      <c r="BD10" s="13">
        <f t="shared" ref="BD10:BD73" si="14">SUM(BB10-BC10)</f>
        <v>0</v>
      </c>
      <c r="BE10" s="2">
        <f t="shared" si="3"/>
        <v>5898840</v>
      </c>
      <c r="BF10" s="2">
        <f t="shared" si="1"/>
        <v>1409517.3</v>
      </c>
      <c r="BG10" s="2">
        <f t="shared" ref="BG10:BG73" si="15">SUM(BE10-BF10)</f>
        <v>4489322.7</v>
      </c>
      <c r="BH10" s="13">
        <v>544000</v>
      </c>
      <c r="BI10" s="13"/>
      <c r="BJ10" s="13">
        <f>SUM(BH10-BI10)</f>
        <v>544000</v>
      </c>
    </row>
    <row r="11" spans="1:63" x14ac:dyDescent="0.55000000000000004">
      <c r="A11" s="11">
        <v>3</v>
      </c>
      <c r="B11" s="12" t="s">
        <v>7</v>
      </c>
      <c r="C11" s="19">
        <v>677640</v>
      </c>
      <c r="D11" s="19">
        <v>338820</v>
      </c>
      <c r="E11" s="21">
        <f t="shared" si="4"/>
        <v>338820</v>
      </c>
      <c r="F11" s="13">
        <f>200000+912000</f>
        <v>1112000</v>
      </c>
      <c r="G11" s="13">
        <v>182670</v>
      </c>
      <c r="H11" s="13">
        <f t="shared" si="5"/>
        <v>929330</v>
      </c>
      <c r="I11" s="13">
        <f>207000+22500</f>
        <v>229500</v>
      </c>
      <c r="J11" s="13">
        <v>59250</v>
      </c>
      <c r="K11" s="13">
        <f t="shared" si="6"/>
        <v>170250</v>
      </c>
      <c r="L11" s="13">
        <f>192000+64200+161000</f>
        <v>417200</v>
      </c>
      <c r="M11" s="13">
        <v>240104.53</v>
      </c>
      <c r="N11" s="13">
        <f t="shared" si="7"/>
        <v>177095.47</v>
      </c>
      <c r="O11" s="2">
        <f t="shared" ref="O11:P74" si="16">SUM(F11+I11+L11)</f>
        <v>1758700</v>
      </c>
      <c r="P11" s="2">
        <f t="shared" si="0"/>
        <v>482024.53</v>
      </c>
      <c r="Q11" s="2">
        <f t="shared" si="8"/>
        <v>1276675.47</v>
      </c>
      <c r="R11" s="13">
        <v>20000</v>
      </c>
      <c r="S11" s="13">
        <v>0</v>
      </c>
      <c r="T11" s="13">
        <f t="shared" ref="T11:T74" si="17">SUM(R11-S11)</f>
        <v>20000</v>
      </c>
      <c r="U11" s="13">
        <v>170000</v>
      </c>
      <c r="V11" s="13">
        <v>170000</v>
      </c>
      <c r="W11" s="13">
        <f t="shared" ref="W11:W74" si="18">SUM(U11-V11)</f>
        <v>0</v>
      </c>
      <c r="X11" s="13">
        <v>0</v>
      </c>
      <c r="Y11" s="13">
        <v>0</v>
      </c>
      <c r="Z11" s="13">
        <f t="shared" si="9"/>
        <v>0</v>
      </c>
      <c r="AA11" s="13">
        <v>90000</v>
      </c>
      <c r="AB11" s="13">
        <v>0</v>
      </c>
      <c r="AC11" s="13">
        <f t="shared" ref="AC11:AC74" si="19">SUM(AA11-AB11)</f>
        <v>90000</v>
      </c>
      <c r="AD11" s="13">
        <v>427400</v>
      </c>
      <c r="AE11" s="13">
        <v>0</v>
      </c>
      <c r="AF11" s="13">
        <f t="shared" si="10"/>
        <v>427400</v>
      </c>
      <c r="AG11" s="13">
        <v>1012900</v>
      </c>
      <c r="AH11" s="13">
        <v>209060</v>
      </c>
      <c r="AI11" s="13">
        <f>SUM(AG11-AH11)</f>
        <v>803840</v>
      </c>
      <c r="AJ11" s="13">
        <v>124800</v>
      </c>
      <c r="AK11" s="13">
        <v>0</v>
      </c>
      <c r="AL11" s="13">
        <f t="shared" si="11"/>
        <v>124800</v>
      </c>
      <c r="AM11" s="13">
        <v>1500000</v>
      </c>
      <c r="AN11" s="13">
        <v>0</v>
      </c>
      <c r="AO11" s="13">
        <f>SUM(AM11-AN11)</f>
        <v>1500000</v>
      </c>
      <c r="AP11" s="13">
        <v>368000</v>
      </c>
      <c r="AQ11" s="13">
        <v>0</v>
      </c>
      <c r="AR11" s="13">
        <f>SUM(AP11-AQ11)</f>
        <v>368000</v>
      </c>
      <c r="AS11" s="13">
        <v>37000</v>
      </c>
      <c r="AT11" s="13">
        <v>0</v>
      </c>
      <c r="AU11" s="13">
        <f t="shared" si="12"/>
        <v>37000</v>
      </c>
      <c r="AV11" s="13">
        <v>0</v>
      </c>
      <c r="AW11" s="13">
        <v>0</v>
      </c>
      <c r="AX11" s="13">
        <f t="shared" ref="AX11:AX74" si="20">SUM(AV11-AW11)</f>
        <v>0</v>
      </c>
      <c r="AY11" s="2">
        <f t="shared" si="13"/>
        <v>3730100</v>
      </c>
      <c r="AZ11" s="2">
        <f t="shared" si="13"/>
        <v>379060</v>
      </c>
      <c r="BA11" s="2">
        <f t="shared" si="2"/>
        <v>2946040</v>
      </c>
      <c r="BB11" s="13">
        <v>14344600</v>
      </c>
      <c r="BC11" s="13">
        <v>0</v>
      </c>
      <c r="BD11" s="13">
        <f t="shared" si="14"/>
        <v>14344600</v>
      </c>
      <c r="BE11" s="2">
        <f t="shared" si="3"/>
        <v>20531040</v>
      </c>
      <c r="BF11" s="2">
        <f t="shared" si="1"/>
        <v>1199904.53</v>
      </c>
      <c r="BG11" s="2">
        <f t="shared" si="15"/>
        <v>19331135.469999999</v>
      </c>
      <c r="BH11" s="13">
        <v>633000</v>
      </c>
      <c r="BI11" s="13"/>
      <c r="BJ11" s="13">
        <f t="shared" ref="BJ11:BJ74" si="21">SUM(BH11-BI11)</f>
        <v>633000</v>
      </c>
    </row>
    <row r="12" spans="1:63" x14ac:dyDescent="0.55000000000000004">
      <c r="A12" s="11">
        <v>4</v>
      </c>
      <c r="B12" s="12" t="s">
        <v>8</v>
      </c>
      <c r="C12" s="19">
        <v>640740</v>
      </c>
      <c r="D12" s="19">
        <v>320370</v>
      </c>
      <c r="E12" s="21">
        <f t="shared" si="4"/>
        <v>320370</v>
      </c>
      <c r="F12" s="13">
        <f>200000+1455799</f>
        <v>1655799</v>
      </c>
      <c r="G12" s="13">
        <v>59817.19</v>
      </c>
      <c r="H12" s="13">
        <f t="shared" si="5"/>
        <v>1595981.81</v>
      </c>
      <c r="I12" s="13">
        <f>48000+147000+32000+22500</f>
        <v>249500</v>
      </c>
      <c r="J12" s="13">
        <f>8000+72250</f>
        <v>80250</v>
      </c>
      <c r="K12" s="13">
        <f t="shared" si="6"/>
        <v>169250</v>
      </c>
      <c r="L12" s="13">
        <f>228000+123312+363000+100000+19000</f>
        <v>833312</v>
      </c>
      <c r="M12" s="13">
        <v>348271.09</v>
      </c>
      <c r="N12" s="13">
        <f t="shared" si="7"/>
        <v>485040.91</v>
      </c>
      <c r="O12" s="2">
        <f t="shared" si="16"/>
        <v>2738611</v>
      </c>
      <c r="P12" s="2">
        <f t="shared" si="0"/>
        <v>488338.28</v>
      </c>
      <c r="Q12" s="2">
        <f t="shared" si="8"/>
        <v>2250272.7199999997</v>
      </c>
      <c r="R12" s="13">
        <v>20000</v>
      </c>
      <c r="S12" s="13">
        <v>0</v>
      </c>
      <c r="T12" s="13">
        <f t="shared" si="17"/>
        <v>20000</v>
      </c>
      <c r="U12" s="13">
        <v>350000</v>
      </c>
      <c r="V12" s="13">
        <v>250000</v>
      </c>
      <c r="W12" s="13">
        <f t="shared" si="18"/>
        <v>100000</v>
      </c>
      <c r="X12" s="13">
        <v>0</v>
      </c>
      <c r="Y12" s="13">
        <v>0</v>
      </c>
      <c r="Z12" s="13">
        <f t="shared" si="9"/>
        <v>0</v>
      </c>
      <c r="AA12" s="13">
        <v>90000</v>
      </c>
      <c r="AB12" s="13">
        <v>62193.95</v>
      </c>
      <c r="AC12" s="13">
        <f t="shared" si="19"/>
        <v>27806.050000000003</v>
      </c>
      <c r="AD12" s="13">
        <v>421600</v>
      </c>
      <c r="AE12" s="13">
        <v>0</v>
      </c>
      <c r="AF12" s="13">
        <f t="shared" si="10"/>
        <v>421600</v>
      </c>
      <c r="AG12" s="13">
        <v>1012900</v>
      </c>
      <c r="AH12" s="13">
        <v>254925.88</v>
      </c>
      <c r="AI12" s="13">
        <f t="shared" ref="AI12:AI75" si="22">SUM(AG12-AH12)</f>
        <v>757974.12</v>
      </c>
      <c r="AJ12" s="13">
        <v>178800</v>
      </c>
      <c r="AK12" s="13">
        <v>6300</v>
      </c>
      <c r="AL12" s="13">
        <f t="shared" si="11"/>
        <v>172500</v>
      </c>
      <c r="AM12" s="13">
        <v>1500000</v>
      </c>
      <c r="AN12" s="13">
        <v>0</v>
      </c>
      <c r="AO12" s="13">
        <f>SUM(AM12-AN12)</f>
        <v>1500000</v>
      </c>
      <c r="AP12" s="13">
        <v>368000</v>
      </c>
      <c r="AQ12" s="13">
        <v>0</v>
      </c>
      <c r="AR12" s="13">
        <f>SUM(AP12-AQ12)</f>
        <v>368000</v>
      </c>
      <c r="AS12" s="13">
        <v>37000</v>
      </c>
      <c r="AT12" s="13">
        <v>0</v>
      </c>
      <c r="AU12" s="13">
        <f t="shared" si="12"/>
        <v>37000</v>
      </c>
      <c r="AV12" s="13">
        <v>0</v>
      </c>
      <c r="AW12" s="13">
        <v>0</v>
      </c>
      <c r="AX12" s="13">
        <f t="shared" si="20"/>
        <v>0</v>
      </c>
      <c r="AY12" s="2">
        <f t="shared" si="13"/>
        <v>3958300</v>
      </c>
      <c r="AZ12" s="2">
        <f t="shared" si="13"/>
        <v>573419.83000000007</v>
      </c>
      <c r="BA12" s="2">
        <f t="shared" si="2"/>
        <v>2979880.17</v>
      </c>
      <c r="BB12" s="13">
        <v>6429300</v>
      </c>
      <c r="BC12" s="13">
        <v>0</v>
      </c>
      <c r="BD12" s="13">
        <f t="shared" si="14"/>
        <v>6429300</v>
      </c>
      <c r="BE12" s="2">
        <f t="shared" si="3"/>
        <v>13786951</v>
      </c>
      <c r="BF12" s="2">
        <f t="shared" si="1"/>
        <v>1382128.11</v>
      </c>
      <c r="BG12" s="2">
        <f t="shared" si="15"/>
        <v>12404822.890000001</v>
      </c>
      <c r="BH12" s="13">
        <v>1434000</v>
      </c>
      <c r="BI12" s="13"/>
      <c r="BJ12" s="13">
        <f t="shared" si="21"/>
        <v>1434000</v>
      </c>
    </row>
    <row r="13" spans="1:63" x14ac:dyDescent="0.55000000000000004">
      <c r="A13" s="11">
        <v>5</v>
      </c>
      <c r="B13" s="12" t="s">
        <v>9</v>
      </c>
      <c r="C13" s="19">
        <v>521580</v>
      </c>
      <c r="D13" s="19">
        <v>260790</v>
      </c>
      <c r="E13" s="21">
        <f t="shared" si="4"/>
        <v>260790</v>
      </c>
      <c r="F13" s="13">
        <f>200000+1291447</f>
        <v>1491447</v>
      </c>
      <c r="G13" s="13">
        <v>278150</v>
      </c>
      <c r="H13" s="13">
        <f t="shared" si="5"/>
        <v>1213297</v>
      </c>
      <c r="I13" s="13">
        <f>18000+18000</f>
        <v>36000</v>
      </c>
      <c r="J13" s="13">
        <v>18000</v>
      </c>
      <c r="K13" s="13">
        <f t="shared" si="6"/>
        <v>18000</v>
      </c>
      <c r="L13" s="13">
        <f>234000+16302+80000+21000</f>
        <v>351302</v>
      </c>
      <c r="M13" s="13">
        <v>254930.32</v>
      </c>
      <c r="N13" s="13">
        <f t="shared" si="7"/>
        <v>96371.68</v>
      </c>
      <c r="O13" s="2">
        <f t="shared" si="16"/>
        <v>1878749</v>
      </c>
      <c r="P13" s="2">
        <f t="shared" si="0"/>
        <v>551080.32000000007</v>
      </c>
      <c r="Q13" s="2">
        <f t="shared" si="8"/>
        <v>1327668.68</v>
      </c>
      <c r="R13" s="13">
        <v>20000</v>
      </c>
      <c r="S13" s="13">
        <v>0</v>
      </c>
      <c r="T13" s="13">
        <f t="shared" si="17"/>
        <v>20000</v>
      </c>
      <c r="U13" s="13">
        <v>170000</v>
      </c>
      <c r="V13" s="13">
        <v>114942</v>
      </c>
      <c r="W13" s="13">
        <f t="shared" si="18"/>
        <v>55058</v>
      </c>
      <c r="X13" s="13">
        <v>0</v>
      </c>
      <c r="Y13" s="13">
        <v>0</v>
      </c>
      <c r="Z13" s="13">
        <f t="shared" si="9"/>
        <v>0</v>
      </c>
      <c r="AA13" s="13">
        <v>90000</v>
      </c>
      <c r="AB13" s="13"/>
      <c r="AC13" s="13">
        <f t="shared" si="19"/>
        <v>90000</v>
      </c>
      <c r="AD13" s="13">
        <v>274050</v>
      </c>
      <c r="AE13" s="13">
        <v>0</v>
      </c>
      <c r="AF13" s="13">
        <f t="shared" si="10"/>
        <v>274050</v>
      </c>
      <c r="AG13" s="13">
        <v>1012900</v>
      </c>
      <c r="AH13" s="13">
        <v>138006</v>
      </c>
      <c r="AI13" s="13">
        <f t="shared" si="22"/>
        <v>874894</v>
      </c>
      <c r="AJ13" s="13">
        <v>124800</v>
      </c>
      <c r="AK13" s="13">
        <v>0</v>
      </c>
      <c r="AL13" s="13">
        <f t="shared" si="11"/>
        <v>124800</v>
      </c>
      <c r="AM13" s="13">
        <v>1500000</v>
      </c>
      <c r="AN13" s="13">
        <v>0</v>
      </c>
      <c r="AO13" s="13">
        <f t="shared" ref="AO13:AO76" si="23">SUM(AM13-AN13)</f>
        <v>1500000</v>
      </c>
      <c r="AP13" s="13">
        <v>368000</v>
      </c>
      <c r="AQ13" s="13">
        <v>0</v>
      </c>
      <c r="AR13" s="13">
        <f t="shared" ref="AR13:AR76" si="24">SUM(AP13-AQ13)</f>
        <v>368000</v>
      </c>
      <c r="AS13" s="13">
        <v>37000</v>
      </c>
      <c r="AT13" s="13">
        <v>37000</v>
      </c>
      <c r="AU13" s="13">
        <f t="shared" si="12"/>
        <v>0</v>
      </c>
      <c r="AV13" s="13">
        <v>0</v>
      </c>
      <c r="AW13" s="13">
        <v>0</v>
      </c>
      <c r="AX13" s="13">
        <f t="shared" si="20"/>
        <v>0</v>
      </c>
      <c r="AY13" s="2">
        <f t="shared" si="13"/>
        <v>3576750</v>
      </c>
      <c r="AZ13" s="2">
        <f t="shared" si="13"/>
        <v>289948</v>
      </c>
      <c r="BA13" s="2">
        <f t="shared" si="2"/>
        <v>2918802</v>
      </c>
      <c r="BB13" s="13">
        <v>0</v>
      </c>
      <c r="BC13" s="13">
        <v>0</v>
      </c>
      <c r="BD13" s="13">
        <f t="shared" si="14"/>
        <v>0</v>
      </c>
      <c r="BE13" s="2">
        <f t="shared" si="3"/>
        <v>5997079</v>
      </c>
      <c r="BF13" s="2">
        <f t="shared" si="1"/>
        <v>1101818.32</v>
      </c>
      <c r="BG13" s="2">
        <f t="shared" si="15"/>
        <v>4895260.68</v>
      </c>
      <c r="BH13" s="13">
        <v>633000</v>
      </c>
      <c r="BI13" s="13"/>
      <c r="BJ13" s="13">
        <f t="shared" si="21"/>
        <v>633000</v>
      </c>
    </row>
    <row r="14" spans="1:63" x14ac:dyDescent="0.55000000000000004">
      <c r="A14" s="11">
        <v>6</v>
      </c>
      <c r="B14" s="12" t="s">
        <v>10</v>
      </c>
      <c r="C14" s="19">
        <v>652560</v>
      </c>
      <c r="D14" s="19">
        <v>315030</v>
      </c>
      <c r="E14" s="21">
        <f t="shared" si="4"/>
        <v>337530</v>
      </c>
      <c r="F14" s="13">
        <f>200000+952062</f>
        <v>1152062</v>
      </c>
      <c r="G14" s="13">
        <v>210000</v>
      </c>
      <c r="H14" s="13">
        <f t="shared" si="5"/>
        <v>942062</v>
      </c>
      <c r="I14" s="13">
        <f>48000+72000+22500+15000</f>
        <v>157500</v>
      </c>
      <c r="J14" s="13">
        <v>53320</v>
      </c>
      <c r="K14" s="13">
        <f t="shared" si="6"/>
        <v>104180</v>
      </c>
      <c r="L14" s="13">
        <f>138000+81620+46000</f>
        <v>265620</v>
      </c>
      <c r="M14" s="13">
        <v>106612.18</v>
      </c>
      <c r="N14" s="13">
        <f t="shared" si="7"/>
        <v>159007.82</v>
      </c>
      <c r="O14" s="2">
        <f t="shared" si="16"/>
        <v>1575182</v>
      </c>
      <c r="P14" s="2">
        <f t="shared" si="0"/>
        <v>369932.18</v>
      </c>
      <c r="Q14" s="2">
        <f t="shared" si="8"/>
        <v>1205249.82</v>
      </c>
      <c r="R14" s="13">
        <v>20000</v>
      </c>
      <c r="S14" s="13">
        <v>0</v>
      </c>
      <c r="T14" s="13">
        <f t="shared" si="17"/>
        <v>20000</v>
      </c>
      <c r="U14" s="13">
        <v>250000</v>
      </c>
      <c r="V14" s="13">
        <v>250000</v>
      </c>
      <c r="W14" s="13">
        <f t="shared" si="18"/>
        <v>0</v>
      </c>
      <c r="X14" s="13">
        <v>0</v>
      </c>
      <c r="Y14" s="13">
        <v>0</v>
      </c>
      <c r="Z14" s="13">
        <f t="shared" si="9"/>
        <v>0</v>
      </c>
      <c r="AA14" s="13">
        <v>90000</v>
      </c>
      <c r="AB14" s="13">
        <v>50000</v>
      </c>
      <c r="AC14" s="13">
        <f t="shared" si="19"/>
        <v>40000</v>
      </c>
      <c r="AD14" s="13">
        <v>270000</v>
      </c>
      <c r="AE14" s="13">
        <v>0</v>
      </c>
      <c r="AF14" s="13">
        <f t="shared" si="10"/>
        <v>270000</v>
      </c>
      <c r="AG14" s="13">
        <v>1012900</v>
      </c>
      <c r="AH14" s="13">
        <v>238879.79</v>
      </c>
      <c r="AI14" s="13">
        <f t="shared" si="22"/>
        <v>774020.21</v>
      </c>
      <c r="AJ14" s="13">
        <v>148800</v>
      </c>
      <c r="AK14" s="13">
        <v>105200</v>
      </c>
      <c r="AL14" s="13">
        <f t="shared" si="11"/>
        <v>43600</v>
      </c>
      <c r="AM14" s="13">
        <v>1500000</v>
      </c>
      <c r="AN14" s="13">
        <v>0</v>
      </c>
      <c r="AO14" s="13">
        <f t="shared" si="23"/>
        <v>1500000</v>
      </c>
      <c r="AP14" s="13">
        <v>368000</v>
      </c>
      <c r="AQ14" s="13">
        <v>0</v>
      </c>
      <c r="AR14" s="13">
        <f t="shared" si="24"/>
        <v>368000</v>
      </c>
      <c r="AS14" s="13">
        <v>37000</v>
      </c>
      <c r="AT14" s="13">
        <v>29100</v>
      </c>
      <c r="AU14" s="13">
        <f t="shared" si="12"/>
        <v>7900</v>
      </c>
      <c r="AV14" s="13">
        <v>752798.37</v>
      </c>
      <c r="AW14" s="13">
        <v>752798.37</v>
      </c>
      <c r="AX14" s="13">
        <f t="shared" si="20"/>
        <v>0</v>
      </c>
      <c r="AY14" s="2">
        <f t="shared" si="13"/>
        <v>4429498.37</v>
      </c>
      <c r="AZ14" s="2">
        <f t="shared" si="13"/>
        <v>1425978.1600000001</v>
      </c>
      <c r="BA14" s="2">
        <f t="shared" si="2"/>
        <v>2627620.21</v>
      </c>
      <c r="BB14" s="13">
        <v>1088200</v>
      </c>
      <c r="BC14" s="13">
        <v>0</v>
      </c>
      <c r="BD14" s="13">
        <f t="shared" si="14"/>
        <v>1088200</v>
      </c>
      <c r="BE14" s="2">
        <f t="shared" si="3"/>
        <v>7765440.3700000001</v>
      </c>
      <c r="BF14" s="2">
        <f t="shared" si="1"/>
        <v>2110940.34</v>
      </c>
      <c r="BG14" s="2">
        <f t="shared" si="15"/>
        <v>5654500.0300000003</v>
      </c>
      <c r="BH14" s="13">
        <v>989000</v>
      </c>
      <c r="BI14" s="13"/>
      <c r="BJ14" s="13">
        <f t="shared" si="21"/>
        <v>989000</v>
      </c>
    </row>
    <row r="15" spans="1:63" x14ac:dyDescent="0.55000000000000004">
      <c r="A15" s="11">
        <v>7</v>
      </c>
      <c r="B15" s="12" t="s">
        <v>11</v>
      </c>
      <c r="C15" s="19">
        <v>538440</v>
      </c>
      <c r="D15" s="19">
        <v>269220</v>
      </c>
      <c r="E15" s="21">
        <f t="shared" si="4"/>
        <v>269220</v>
      </c>
      <c r="F15" s="13">
        <f>200000+991858</f>
        <v>1191858</v>
      </c>
      <c r="G15" s="13">
        <v>308011</v>
      </c>
      <c r="H15" s="13">
        <f t="shared" si="5"/>
        <v>883847</v>
      </c>
      <c r="I15" s="13">
        <f>151800+18000</f>
        <v>169800</v>
      </c>
      <c r="J15" s="13">
        <f>72900+9000</f>
        <v>81900</v>
      </c>
      <c r="K15" s="13">
        <f t="shared" si="6"/>
        <v>87900</v>
      </c>
      <c r="L15" s="13">
        <f>192000+55640+11348+29000+70000</f>
        <v>357988</v>
      </c>
      <c r="M15" s="13">
        <v>134126.85</v>
      </c>
      <c r="N15" s="13">
        <f t="shared" si="7"/>
        <v>223861.15</v>
      </c>
      <c r="O15" s="2">
        <f t="shared" si="16"/>
        <v>1719646</v>
      </c>
      <c r="P15" s="2">
        <f t="shared" si="0"/>
        <v>524037.85</v>
      </c>
      <c r="Q15" s="2">
        <f t="shared" si="8"/>
        <v>1195608.1499999999</v>
      </c>
      <c r="R15" s="13">
        <v>20000</v>
      </c>
      <c r="S15" s="13">
        <v>0</v>
      </c>
      <c r="T15" s="13">
        <f t="shared" si="17"/>
        <v>20000</v>
      </c>
      <c r="U15" s="13">
        <v>150000</v>
      </c>
      <c r="V15" s="13">
        <v>149448</v>
      </c>
      <c r="W15" s="13">
        <f t="shared" si="18"/>
        <v>552</v>
      </c>
      <c r="X15" s="13">
        <v>0</v>
      </c>
      <c r="Y15" s="13">
        <v>0</v>
      </c>
      <c r="Z15" s="13">
        <f t="shared" si="9"/>
        <v>0</v>
      </c>
      <c r="AA15" s="13">
        <v>90000</v>
      </c>
      <c r="AB15" s="13">
        <v>33280</v>
      </c>
      <c r="AC15" s="13">
        <f t="shared" si="19"/>
        <v>56720</v>
      </c>
      <c r="AD15" s="13">
        <v>387900</v>
      </c>
      <c r="AE15" s="13">
        <v>0</v>
      </c>
      <c r="AF15" s="13">
        <f t="shared" si="10"/>
        <v>387900</v>
      </c>
      <c r="AG15" s="13">
        <v>1012900</v>
      </c>
      <c r="AH15" s="13">
        <v>228272.55</v>
      </c>
      <c r="AI15" s="13">
        <f t="shared" si="22"/>
        <v>784627.45</v>
      </c>
      <c r="AJ15" s="13">
        <v>118800</v>
      </c>
      <c r="AK15" s="13">
        <v>0</v>
      </c>
      <c r="AL15" s="13">
        <f t="shared" si="11"/>
        <v>118800</v>
      </c>
      <c r="AM15" s="13">
        <v>1500000</v>
      </c>
      <c r="AN15" s="13">
        <v>0</v>
      </c>
      <c r="AO15" s="13">
        <f t="shared" si="23"/>
        <v>1500000</v>
      </c>
      <c r="AP15" s="13">
        <v>368000</v>
      </c>
      <c r="AQ15" s="13">
        <v>44031</v>
      </c>
      <c r="AR15" s="13">
        <f t="shared" si="24"/>
        <v>323969</v>
      </c>
      <c r="AS15" s="13">
        <v>37000</v>
      </c>
      <c r="AT15" s="13">
        <v>0</v>
      </c>
      <c r="AU15" s="13">
        <f t="shared" si="12"/>
        <v>37000</v>
      </c>
      <c r="AV15" s="13">
        <v>0</v>
      </c>
      <c r="AW15" s="13">
        <v>0</v>
      </c>
      <c r="AX15" s="13">
        <f t="shared" si="20"/>
        <v>0</v>
      </c>
      <c r="AY15" s="2">
        <f t="shared" si="13"/>
        <v>3664600</v>
      </c>
      <c r="AZ15" s="2">
        <f t="shared" si="13"/>
        <v>455031.55</v>
      </c>
      <c r="BA15" s="2">
        <f t="shared" si="2"/>
        <v>2848599.45</v>
      </c>
      <c r="BB15" s="13">
        <v>2035000</v>
      </c>
      <c r="BC15" s="13">
        <v>505000</v>
      </c>
      <c r="BD15" s="13">
        <f t="shared" si="14"/>
        <v>1530000</v>
      </c>
      <c r="BE15" s="2">
        <f t="shared" si="3"/>
        <v>7977686</v>
      </c>
      <c r="BF15" s="2">
        <f t="shared" si="1"/>
        <v>1753289.4</v>
      </c>
      <c r="BG15" s="2">
        <f t="shared" si="15"/>
        <v>6224396.5999999996</v>
      </c>
      <c r="BH15" s="13">
        <v>544000</v>
      </c>
      <c r="BI15" s="13"/>
      <c r="BJ15" s="13">
        <f t="shared" si="21"/>
        <v>544000</v>
      </c>
    </row>
    <row r="16" spans="1:63" x14ac:dyDescent="0.55000000000000004">
      <c r="A16" s="11">
        <v>8</v>
      </c>
      <c r="B16" s="12" t="s">
        <v>12</v>
      </c>
      <c r="C16" s="19">
        <v>531060</v>
      </c>
      <c r="D16" s="19">
        <v>265530</v>
      </c>
      <c r="E16" s="21">
        <f t="shared" si="4"/>
        <v>265530</v>
      </c>
      <c r="F16" s="13">
        <f>200000+815400</f>
        <v>1015400</v>
      </c>
      <c r="G16" s="13">
        <v>330275.44</v>
      </c>
      <c r="H16" s="13">
        <f t="shared" si="5"/>
        <v>685124.56</v>
      </c>
      <c r="I16" s="13">
        <f>256200+18000</f>
        <v>274200</v>
      </c>
      <c r="J16" s="13">
        <v>91400</v>
      </c>
      <c r="K16" s="13">
        <f t="shared" si="6"/>
        <v>182800</v>
      </c>
      <c r="L16" s="13">
        <f>162000+60000+14024+73787+80000+11300</f>
        <v>401111</v>
      </c>
      <c r="M16" s="13">
        <v>207312.82</v>
      </c>
      <c r="N16" s="13">
        <f t="shared" si="7"/>
        <v>193798.18</v>
      </c>
      <c r="O16" s="2">
        <f t="shared" si="16"/>
        <v>1690711</v>
      </c>
      <c r="P16" s="2">
        <f t="shared" si="0"/>
        <v>628988.26</v>
      </c>
      <c r="Q16" s="2">
        <f t="shared" si="8"/>
        <v>1061722.74</v>
      </c>
      <c r="R16" s="13">
        <v>20000</v>
      </c>
      <c r="S16" s="13">
        <v>0</v>
      </c>
      <c r="T16" s="13">
        <f t="shared" si="17"/>
        <v>20000</v>
      </c>
      <c r="U16" s="13">
        <v>190000</v>
      </c>
      <c r="V16" s="13">
        <v>160375</v>
      </c>
      <c r="W16" s="13">
        <f t="shared" si="18"/>
        <v>29625</v>
      </c>
      <c r="X16" s="13">
        <v>0</v>
      </c>
      <c r="Y16" s="13">
        <v>0</v>
      </c>
      <c r="Z16" s="13">
        <f t="shared" si="9"/>
        <v>0</v>
      </c>
      <c r="AA16" s="13">
        <v>90000</v>
      </c>
      <c r="AB16" s="13">
        <v>32000</v>
      </c>
      <c r="AC16" s="13">
        <f t="shared" si="19"/>
        <v>58000</v>
      </c>
      <c r="AD16" s="13">
        <v>197600</v>
      </c>
      <c r="AE16" s="13">
        <v>0</v>
      </c>
      <c r="AF16" s="13">
        <f t="shared" si="10"/>
        <v>197600</v>
      </c>
      <c r="AG16" s="13">
        <v>1012900</v>
      </c>
      <c r="AH16" s="13">
        <v>207360.32</v>
      </c>
      <c r="AI16" s="13">
        <f t="shared" si="22"/>
        <v>805539.67999999993</v>
      </c>
      <c r="AJ16" s="13">
        <v>130800</v>
      </c>
      <c r="AK16" s="13">
        <v>11999</v>
      </c>
      <c r="AL16" s="13">
        <f t="shared" si="11"/>
        <v>118801</v>
      </c>
      <c r="AM16" s="13">
        <v>1500000</v>
      </c>
      <c r="AN16" s="13">
        <v>0</v>
      </c>
      <c r="AO16" s="13">
        <f t="shared" si="23"/>
        <v>1500000</v>
      </c>
      <c r="AP16" s="13">
        <v>368000</v>
      </c>
      <c r="AQ16" s="13">
        <v>0</v>
      </c>
      <c r="AR16" s="13">
        <f t="shared" si="24"/>
        <v>368000</v>
      </c>
      <c r="AS16" s="13">
        <v>37000</v>
      </c>
      <c r="AT16" s="13">
        <v>37000</v>
      </c>
      <c r="AU16" s="13">
        <f t="shared" si="12"/>
        <v>0</v>
      </c>
      <c r="AV16" s="13">
        <v>0</v>
      </c>
      <c r="AW16" s="13">
        <v>0</v>
      </c>
      <c r="AX16" s="13">
        <f t="shared" si="20"/>
        <v>0</v>
      </c>
      <c r="AY16" s="2">
        <f t="shared" si="13"/>
        <v>3526300</v>
      </c>
      <c r="AZ16" s="2">
        <f t="shared" si="13"/>
        <v>448734.32</v>
      </c>
      <c r="BA16" s="2">
        <f t="shared" si="2"/>
        <v>2709565.6799999997</v>
      </c>
      <c r="BB16" s="13">
        <v>0</v>
      </c>
      <c r="BC16" s="13">
        <v>0</v>
      </c>
      <c r="BD16" s="13">
        <f>SUM(BB16-BC16)</f>
        <v>0</v>
      </c>
      <c r="BE16" s="2">
        <f t="shared" si="3"/>
        <v>5768071</v>
      </c>
      <c r="BF16" s="2">
        <f t="shared" si="1"/>
        <v>1343252.58</v>
      </c>
      <c r="BG16" s="2">
        <f t="shared" si="15"/>
        <v>4424818.42</v>
      </c>
      <c r="BH16" s="13">
        <v>722000</v>
      </c>
      <c r="BI16" s="13"/>
      <c r="BJ16" s="13">
        <f t="shared" si="21"/>
        <v>722000</v>
      </c>
    </row>
    <row r="17" spans="1:62" x14ac:dyDescent="0.55000000000000004">
      <c r="A17" s="11">
        <v>9</v>
      </c>
      <c r="B17" s="12" t="s">
        <v>13</v>
      </c>
      <c r="C17" s="19">
        <v>631140</v>
      </c>
      <c r="D17" s="19">
        <v>315570</v>
      </c>
      <c r="E17" s="21">
        <f t="shared" si="4"/>
        <v>315570</v>
      </c>
      <c r="F17" s="13">
        <f>200000+493757</f>
        <v>693757</v>
      </c>
      <c r="G17" s="13">
        <v>146104.4</v>
      </c>
      <c r="H17" s="13">
        <f t="shared" si="5"/>
        <v>547652.6</v>
      </c>
      <c r="I17" s="13">
        <f>141000+22500</f>
        <v>163500</v>
      </c>
      <c r="J17" s="13">
        <v>70250</v>
      </c>
      <c r="K17" s="13">
        <f t="shared" si="6"/>
        <v>93250</v>
      </c>
      <c r="L17" s="13">
        <f>96000+17000</f>
        <v>113000</v>
      </c>
      <c r="M17" s="13">
        <v>96692.7</v>
      </c>
      <c r="N17" s="13">
        <f t="shared" si="7"/>
        <v>16307.300000000003</v>
      </c>
      <c r="O17" s="2">
        <f t="shared" si="16"/>
        <v>970257</v>
      </c>
      <c r="P17" s="2">
        <f t="shared" si="0"/>
        <v>313047.09999999998</v>
      </c>
      <c r="Q17" s="2">
        <f t="shared" si="8"/>
        <v>657209.9</v>
      </c>
      <c r="R17" s="13">
        <v>20000</v>
      </c>
      <c r="S17" s="13">
        <v>0</v>
      </c>
      <c r="T17" s="13">
        <f t="shared" si="17"/>
        <v>20000</v>
      </c>
      <c r="U17" s="13">
        <v>290000</v>
      </c>
      <c r="V17" s="13">
        <v>290000</v>
      </c>
      <c r="W17" s="13">
        <f t="shared" si="18"/>
        <v>0</v>
      </c>
      <c r="X17" s="13">
        <v>0</v>
      </c>
      <c r="Y17" s="13">
        <v>0</v>
      </c>
      <c r="Z17" s="13">
        <f t="shared" si="9"/>
        <v>0</v>
      </c>
      <c r="AA17" s="13">
        <v>90000</v>
      </c>
      <c r="AB17" s="13">
        <v>10150</v>
      </c>
      <c r="AC17" s="13">
        <f t="shared" si="19"/>
        <v>79850</v>
      </c>
      <c r="AD17" s="13">
        <v>369000</v>
      </c>
      <c r="AE17" s="13">
        <v>0</v>
      </c>
      <c r="AF17" s="13">
        <f t="shared" si="10"/>
        <v>369000</v>
      </c>
      <c r="AG17" s="13">
        <v>1012900</v>
      </c>
      <c r="AH17" s="13">
        <v>171122.13</v>
      </c>
      <c r="AI17" s="13">
        <f t="shared" si="22"/>
        <v>841777.87</v>
      </c>
      <c r="AJ17" s="13">
        <v>160800</v>
      </c>
      <c r="AK17" s="13">
        <v>10000</v>
      </c>
      <c r="AL17" s="13">
        <f t="shared" si="11"/>
        <v>150800</v>
      </c>
      <c r="AM17" s="13">
        <v>1500000</v>
      </c>
      <c r="AN17" s="13">
        <v>0</v>
      </c>
      <c r="AO17" s="13">
        <f t="shared" si="23"/>
        <v>1500000</v>
      </c>
      <c r="AP17" s="13">
        <v>368000</v>
      </c>
      <c r="AQ17" s="13">
        <v>300300</v>
      </c>
      <c r="AR17" s="13">
        <f t="shared" si="24"/>
        <v>67700</v>
      </c>
      <c r="AS17" s="13">
        <v>37000</v>
      </c>
      <c r="AT17" s="13">
        <v>37000</v>
      </c>
      <c r="AU17" s="13">
        <f t="shared" si="12"/>
        <v>0</v>
      </c>
      <c r="AV17" s="13">
        <v>0</v>
      </c>
      <c r="AW17" s="13">
        <v>0</v>
      </c>
      <c r="AX17" s="13">
        <f t="shared" si="20"/>
        <v>0</v>
      </c>
      <c r="AY17" s="2">
        <f t="shared" si="13"/>
        <v>3827700</v>
      </c>
      <c r="AZ17" s="2">
        <f t="shared" si="13"/>
        <v>818572.13</v>
      </c>
      <c r="BA17" s="2">
        <f t="shared" si="2"/>
        <v>2941427.87</v>
      </c>
      <c r="BB17" s="13">
        <v>154981300</v>
      </c>
      <c r="BC17" s="13">
        <f>44719150</f>
        <v>44719150</v>
      </c>
      <c r="BD17" s="13">
        <f t="shared" si="14"/>
        <v>110262150</v>
      </c>
      <c r="BE17" s="2">
        <f t="shared" si="3"/>
        <v>160430397</v>
      </c>
      <c r="BF17" s="2">
        <f t="shared" si="1"/>
        <v>46166339.229999997</v>
      </c>
      <c r="BG17" s="2">
        <f t="shared" si="15"/>
        <v>114264057.77000001</v>
      </c>
      <c r="BH17" s="13">
        <v>1167000</v>
      </c>
      <c r="BI17" s="13"/>
      <c r="BJ17" s="13">
        <f t="shared" si="21"/>
        <v>1167000</v>
      </c>
    </row>
    <row r="18" spans="1:62" x14ac:dyDescent="0.55000000000000004">
      <c r="A18" s="11">
        <v>10</v>
      </c>
      <c r="B18" s="12" t="s">
        <v>14</v>
      </c>
      <c r="C18" s="19">
        <v>383820</v>
      </c>
      <c r="D18" s="19">
        <v>191910</v>
      </c>
      <c r="E18" s="21">
        <f t="shared" si="4"/>
        <v>191910</v>
      </c>
      <c r="F18" s="13">
        <f>200000+520800</f>
        <v>720800</v>
      </c>
      <c r="G18" s="13">
        <v>143102.85</v>
      </c>
      <c r="H18" s="13">
        <f t="shared" si="5"/>
        <v>577697.15</v>
      </c>
      <c r="I18" s="13">
        <f>48000+216799+13500</f>
        <v>278299</v>
      </c>
      <c r="J18" s="13">
        <f>120799+6750</f>
        <v>127549</v>
      </c>
      <c r="K18" s="13">
        <f t="shared" si="6"/>
        <v>150750</v>
      </c>
      <c r="L18" s="13">
        <f>207000+233000+100000+48000</f>
        <v>588000</v>
      </c>
      <c r="M18" s="13">
        <v>285121.09999999998</v>
      </c>
      <c r="N18" s="13">
        <f t="shared" si="7"/>
        <v>302878.90000000002</v>
      </c>
      <c r="O18" s="2">
        <f t="shared" si="16"/>
        <v>1587099</v>
      </c>
      <c r="P18" s="2">
        <f t="shared" si="0"/>
        <v>555772.94999999995</v>
      </c>
      <c r="Q18" s="2">
        <f t="shared" si="8"/>
        <v>1031326.05</v>
      </c>
      <c r="R18" s="13">
        <v>20000</v>
      </c>
      <c r="S18" s="13">
        <v>20000</v>
      </c>
      <c r="T18" s="13">
        <f t="shared" si="17"/>
        <v>0</v>
      </c>
      <c r="U18" s="13">
        <f>250000+70000</f>
        <v>320000</v>
      </c>
      <c r="V18" s="13">
        <f>250000+70000</f>
        <v>320000</v>
      </c>
      <c r="W18" s="13">
        <f t="shared" si="18"/>
        <v>0</v>
      </c>
      <c r="X18" s="13">
        <v>0</v>
      </c>
      <c r="Y18" s="13">
        <v>0</v>
      </c>
      <c r="Z18" s="13">
        <f t="shared" si="9"/>
        <v>0</v>
      </c>
      <c r="AA18" s="13">
        <v>90000</v>
      </c>
      <c r="AB18" s="13"/>
      <c r="AC18" s="13">
        <f t="shared" si="19"/>
        <v>90000</v>
      </c>
      <c r="AD18" s="13">
        <v>393500</v>
      </c>
      <c r="AE18" s="13">
        <v>0</v>
      </c>
      <c r="AF18" s="13">
        <f t="shared" si="10"/>
        <v>393500</v>
      </c>
      <c r="AG18" s="13">
        <v>1012900</v>
      </c>
      <c r="AH18" s="13">
        <v>201403.59</v>
      </c>
      <c r="AI18" s="13">
        <f t="shared" si="22"/>
        <v>811496.41</v>
      </c>
      <c r="AJ18" s="13">
        <v>151860</v>
      </c>
      <c r="AK18" s="13">
        <v>20748</v>
      </c>
      <c r="AL18" s="13">
        <f t="shared" si="11"/>
        <v>131112</v>
      </c>
      <c r="AM18" s="13">
        <v>1500000</v>
      </c>
      <c r="AN18" s="13">
        <v>0</v>
      </c>
      <c r="AO18" s="13">
        <f t="shared" si="23"/>
        <v>1500000</v>
      </c>
      <c r="AP18" s="13">
        <v>368000</v>
      </c>
      <c r="AQ18" s="13">
        <v>368000</v>
      </c>
      <c r="AR18" s="13">
        <f t="shared" si="24"/>
        <v>0</v>
      </c>
      <c r="AS18" s="13">
        <v>37000</v>
      </c>
      <c r="AT18" s="13">
        <v>37000</v>
      </c>
      <c r="AU18" s="13">
        <f t="shared" si="12"/>
        <v>0</v>
      </c>
      <c r="AV18" s="13">
        <v>0</v>
      </c>
      <c r="AW18" s="13">
        <v>0</v>
      </c>
      <c r="AX18" s="13">
        <f t="shared" si="20"/>
        <v>0</v>
      </c>
      <c r="AY18" s="2">
        <f t="shared" si="13"/>
        <v>3873260</v>
      </c>
      <c r="AZ18" s="2">
        <f t="shared" si="13"/>
        <v>947151.59</v>
      </c>
      <c r="BA18" s="2">
        <f t="shared" si="2"/>
        <v>2926108.41</v>
      </c>
      <c r="BB18" s="13">
        <v>1942000</v>
      </c>
      <c r="BC18" s="13">
        <v>0</v>
      </c>
      <c r="BD18" s="13">
        <f t="shared" si="14"/>
        <v>1942000</v>
      </c>
      <c r="BE18" s="2">
        <f t="shared" si="3"/>
        <v>7806179</v>
      </c>
      <c r="BF18" s="2">
        <f t="shared" si="1"/>
        <v>1714834.54</v>
      </c>
      <c r="BG18" s="2">
        <f t="shared" si="15"/>
        <v>6091344.46</v>
      </c>
      <c r="BH18" s="13">
        <v>989000</v>
      </c>
      <c r="BI18" s="13"/>
      <c r="BJ18" s="13">
        <f t="shared" si="21"/>
        <v>989000</v>
      </c>
    </row>
    <row r="19" spans="1:62" x14ac:dyDescent="0.55000000000000004">
      <c r="A19" s="11">
        <v>11</v>
      </c>
      <c r="B19" s="12" t="s">
        <v>15</v>
      </c>
      <c r="C19" s="19">
        <v>538680</v>
      </c>
      <c r="D19" s="19">
        <v>269340</v>
      </c>
      <c r="E19" s="21">
        <f t="shared" si="4"/>
        <v>269340</v>
      </c>
      <c r="F19" s="13">
        <f>200000+192850</f>
        <v>392850</v>
      </c>
      <c r="G19" s="13">
        <v>253291.87</v>
      </c>
      <c r="H19" s="13">
        <f>SUM(F19-G19)</f>
        <v>139558.13</v>
      </c>
      <c r="I19" s="13">
        <f>147000+18000</f>
        <v>165000</v>
      </c>
      <c r="J19" s="13">
        <f>21300+57600</f>
        <v>78900</v>
      </c>
      <c r="K19" s="13">
        <f t="shared" si="6"/>
        <v>86100</v>
      </c>
      <c r="L19" s="13">
        <f>228000+54000+110000+289275</f>
        <v>681275</v>
      </c>
      <c r="M19" s="13">
        <v>226537.97</v>
      </c>
      <c r="N19" s="13">
        <f t="shared" si="7"/>
        <v>454737.03</v>
      </c>
      <c r="O19" s="2">
        <f t="shared" si="16"/>
        <v>1239125</v>
      </c>
      <c r="P19" s="2">
        <f t="shared" si="0"/>
        <v>558729.84</v>
      </c>
      <c r="Q19" s="2">
        <f t="shared" si="8"/>
        <v>680395.16</v>
      </c>
      <c r="R19" s="13">
        <v>20000</v>
      </c>
      <c r="S19" s="13">
        <v>0</v>
      </c>
      <c r="T19" s="13">
        <f t="shared" si="17"/>
        <v>20000</v>
      </c>
      <c r="U19" s="13">
        <v>190000</v>
      </c>
      <c r="V19" s="13">
        <v>177200</v>
      </c>
      <c r="W19" s="13">
        <f t="shared" si="18"/>
        <v>12800</v>
      </c>
      <c r="X19" s="13">
        <v>0</v>
      </c>
      <c r="Y19" s="13">
        <v>0</v>
      </c>
      <c r="Z19" s="13">
        <f t="shared" si="9"/>
        <v>0</v>
      </c>
      <c r="AA19" s="13">
        <v>90000</v>
      </c>
      <c r="AB19" s="13">
        <v>53500.03</v>
      </c>
      <c r="AC19" s="13">
        <f t="shared" si="19"/>
        <v>36499.97</v>
      </c>
      <c r="AD19" s="13">
        <v>382845</v>
      </c>
      <c r="AE19" s="13">
        <v>0</v>
      </c>
      <c r="AF19" s="13">
        <f t="shared" si="10"/>
        <v>382845</v>
      </c>
      <c r="AG19" s="13">
        <v>1012900</v>
      </c>
      <c r="AH19" s="13">
        <v>155615.04999999999</v>
      </c>
      <c r="AI19" s="13">
        <f t="shared" si="22"/>
        <v>857284.95</v>
      </c>
      <c r="AJ19" s="13">
        <v>130800</v>
      </c>
      <c r="AK19" s="13">
        <v>0</v>
      </c>
      <c r="AL19" s="13">
        <f t="shared" si="11"/>
        <v>130800</v>
      </c>
      <c r="AM19" s="13">
        <v>1500000</v>
      </c>
      <c r="AN19" s="13">
        <v>0</v>
      </c>
      <c r="AO19" s="13">
        <f t="shared" si="23"/>
        <v>1500000</v>
      </c>
      <c r="AP19" s="13">
        <v>368000</v>
      </c>
      <c r="AQ19" s="13">
        <v>0</v>
      </c>
      <c r="AR19" s="13">
        <f t="shared" si="24"/>
        <v>368000</v>
      </c>
      <c r="AS19" s="13">
        <v>37000</v>
      </c>
      <c r="AT19" s="13">
        <v>37000</v>
      </c>
      <c r="AU19" s="13">
        <f t="shared" si="12"/>
        <v>0</v>
      </c>
      <c r="AV19" s="13">
        <v>0</v>
      </c>
      <c r="AW19" s="13">
        <v>0</v>
      </c>
      <c r="AX19" s="13">
        <f t="shared" si="20"/>
        <v>0</v>
      </c>
      <c r="AY19" s="2">
        <f t="shared" si="13"/>
        <v>3711545</v>
      </c>
      <c r="AZ19" s="2">
        <f t="shared" si="13"/>
        <v>423315.07999999996</v>
      </c>
      <c r="BA19" s="2">
        <f t="shared" si="2"/>
        <v>2920229.92</v>
      </c>
      <c r="BB19" s="13">
        <v>0</v>
      </c>
      <c r="BC19" s="13">
        <v>0</v>
      </c>
      <c r="BD19" s="13">
        <f t="shared" si="14"/>
        <v>0</v>
      </c>
      <c r="BE19" s="2">
        <f t="shared" si="3"/>
        <v>5509350</v>
      </c>
      <c r="BF19" s="2">
        <f t="shared" si="1"/>
        <v>1251384.92</v>
      </c>
      <c r="BG19" s="2">
        <f t="shared" si="15"/>
        <v>4257965.08</v>
      </c>
      <c r="BH19" s="13">
        <v>722000</v>
      </c>
      <c r="BI19" s="13"/>
      <c r="BJ19" s="13">
        <f t="shared" si="21"/>
        <v>722000</v>
      </c>
    </row>
    <row r="20" spans="1:62" x14ac:dyDescent="0.55000000000000004">
      <c r="A20" s="11">
        <v>12</v>
      </c>
      <c r="B20" s="12" t="s">
        <v>16</v>
      </c>
      <c r="C20" s="19">
        <v>545160</v>
      </c>
      <c r="D20" s="19">
        <v>225045</v>
      </c>
      <c r="E20" s="21">
        <f t="shared" si="4"/>
        <v>320115</v>
      </c>
      <c r="F20" s="13">
        <f>200000+498000</f>
        <v>698000</v>
      </c>
      <c r="G20" s="13">
        <f>229360+66700</f>
        <v>296060</v>
      </c>
      <c r="H20" s="13">
        <f t="shared" si="5"/>
        <v>401940</v>
      </c>
      <c r="I20" s="13">
        <f>192000+18000</f>
        <v>210000</v>
      </c>
      <c r="J20" s="13">
        <f>90257+7500</f>
        <v>97757</v>
      </c>
      <c r="K20" s="13">
        <f t="shared" si="6"/>
        <v>112243</v>
      </c>
      <c r="L20" s="13">
        <f>186000+67410+48000</f>
        <v>301410</v>
      </c>
      <c r="M20" s="13">
        <v>177586.08</v>
      </c>
      <c r="N20" s="13">
        <f t="shared" si="7"/>
        <v>123823.92000000001</v>
      </c>
      <c r="O20" s="2">
        <f t="shared" si="16"/>
        <v>1209410</v>
      </c>
      <c r="P20" s="2">
        <f t="shared" si="0"/>
        <v>571403.07999999996</v>
      </c>
      <c r="Q20" s="2">
        <f t="shared" si="8"/>
        <v>638006.92000000004</v>
      </c>
      <c r="R20" s="13">
        <v>20000</v>
      </c>
      <c r="S20" s="13">
        <v>0</v>
      </c>
      <c r="T20" s="13">
        <f t="shared" si="17"/>
        <v>20000</v>
      </c>
      <c r="U20" s="13">
        <v>230000</v>
      </c>
      <c r="V20" s="13">
        <f>90000+140000</f>
        <v>230000</v>
      </c>
      <c r="W20" s="13">
        <f t="shared" si="18"/>
        <v>0</v>
      </c>
      <c r="X20" s="13">
        <v>0</v>
      </c>
      <c r="Y20" s="13">
        <v>0</v>
      </c>
      <c r="Z20" s="13">
        <f t="shared" si="9"/>
        <v>0</v>
      </c>
      <c r="AA20" s="13">
        <v>90000</v>
      </c>
      <c r="AB20" s="13">
        <v>2800</v>
      </c>
      <c r="AC20" s="13">
        <f t="shared" si="19"/>
        <v>87200</v>
      </c>
      <c r="AD20" s="13">
        <v>265000</v>
      </c>
      <c r="AE20" s="13">
        <v>0</v>
      </c>
      <c r="AF20" s="13">
        <f t="shared" si="10"/>
        <v>265000</v>
      </c>
      <c r="AG20" s="13">
        <v>1012900</v>
      </c>
      <c r="AH20" s="13">
        <v>270496.08</v>
      </c>
      <c r="AI20" s="13">
        <f t="shared" si="22"/>
        <v>742403.91999999993</v>
      </c>
      <c r="AJ20" s="13">
        <v>142800</v>
      </c>
      <c r="AK20" s="13">
        <f>15561.08+47447.73</f>
        <v>63008.810000000005</v>
      </c>
      <c r="AL20" s="13">
        <f t="shared" si="11"/>
        <v>79791.19</v>
      </c>
      <c r="AM20" s="13">
        <v>1500000</v>
      </c>
      <c r="AN20" s="13">
        <v>0</v>
      </c>
      <c r="AO20" s="13">
        <f t="shared" si="23"/>
        <v>1500000</v>
      </c>
      <c r="AP20" s="13">
        <v>368000</v>
      </c>
      <c r="AQ20" s="13">
        <v>0</v>
      </c>
      <c r="AR20" s="13">
        <f t="shared" si="24"/>
        <v>368000</v>
      </c>
      <c r="AS20" s="13">
        <v>37000</v>
      </c>
      <c r="AT20" s="13">
        <v>0</v>
      </c>
      <c r="AU20" s="13">
        <f t="shared" si="12"/>
        <v>37000</v>
      </c>
      <c r="AV20" s="13">
        <v>0</v>
      </c>
      <c r="AW20" s="13">
        <v>0</v>
      </c>
      <c r="AX20" s="13">
        <f t="shared" si="20"/>
        <v>0</v>
      </c>
      <c r="AY20" s="2">
        <f t="shared" si="13"/>
        <v>3645700</v>
      </c>
      <c r="AZ20" s="2">
        <f t="shared" si="13"/>
        <v>566304.89</v>
      </c>
      <c r="BA20" s="2">
        <f t="shared" si="2"/>
        <v>2674395.11</v>
      </c>
      <c r="BB20" s="13">
        <v>16271900</v>
      </c>
      <c r="BC20" s="13">
        <v>0</v>
      </c>
      <c r="BD20" s="13">
        <f t="shared" si="14"/>
        <v>16271900</v>
      </c>
      <c r="BE20" s="2">
        <f t="shared" si="3"/>
        <v>21692170</v>
      </c>
      <c r="BF20" s="2">
        <f t="shared" si="1"/>
        <v>1362752.97</v>
      </c>
      <c r="BG20" s="2">
        <f t="shared" si="15"/>
        <v>20329417.030000001</v>
      </c>
      <c r="BH20" s="13">
        <v>900000</v>
      </c>
      <c r="BI20" s="13"/>
      <c r="BJ20" s="13">
        <f t="shared" si="21"/>
        <v>900000</v>
      </c>
    </row>
    <row r="21" spans="1:62" x14ac:dyDescent="0.55000000000000004">
      <c r="A21" s="11">
        <v>13</v>
      </c>
      <c r="B21" s="12" t="s">
        <v>17</v>
      </c>
      <c r="C21" s="19">
        <v>647580</v>
      </c>
      <c r="D21" s="19">
        <v>327540</v>
      </c>
      <c r="E21" s="21">
        <f t="shared" si="4"/>
        <v>320040</v>
      </c>
      <c r="F21" s="13">
        <f>200000+488400</f>
        <v>688400</v>
      </c>
      <c r="G21" s="13">
        <v>277625</v>
      </c>
      <c r="H21" s="13">
        <f t="shared" si="5"/>
        <v>410775</v>
      </c>
      <c r="I21" s="13">
        <f>22500</f>
        <v>22500</v>
      </c>
      <c r="J21" s="13">
        <v>7500</v>
      </c>
      <c r="K21" s="13">
        <f t="shared" si="6"/>
        <v>15000</v>
      </c>
      <c r="L21" s="13">
        <f>120000+90950+17450+20340+21000</f>
        <v>269740</v>
      </c>
      <c r="M21" s="13">
        <v>136902.53</v>
      </c>
      <c r="N21" s="13">
        <f t="shared" si="7"/>
        <v>132837.47</v>
      </c>
      <c r="O21" s="2">
        <f t="shared" si="16"/>
        <v>980640</v>
      </c>
      <c r="P21" s="2">
        <f t="shared" si="0"/>
        <v>422027.53</v>
      </c>
      <c r="Q21" s="2">
        <f t="shared" si="8"/>
        <v>558612.47</v>
      </c>
      <c r="R21" s="13">
        <v>20000</v>
      </c>
      <c r="S21" s="13">
        <v>0</v>
      </c>
      <c r="T21" s="13">
        <f t="shared" si="17"/>
        <v>20000</v>
      </c>
      <c r="U21" s="13">
        <v>170000</v>
      </c>
      <c r="V21" s="13">
        <v>170000</v>
      </c>
      <c r="W21" s="13">
        <f t="shared" si="18"/>
        <v>0</v>
      </c>
      <c r="X21" s="13">
        <v>500000</v>
      </c>
      <c r="Y21" s="13">
        <v>43715</v>
      </c>
      <c r="Z21" s="13">
        <f t="shared" si="9"/>
        <v>456285</v>
      </c>
      <c r="AA21" s="13">
        <v>90000</v>
      </c>
      <c r="AB21" s="13">
        <v>30000</v>
      </c>
      <c r="AC21" s="13">
        <f t="shared" si="19"/>
        <v>60000</v>
      </c>
      <c r="AD21" s="13">
        <v>166000</v>
      </c>
      <c r="AE21" s="13">
        <v>0</v>
      </c>
      <c r="AF21" s="13">
        <f t="shared" si="10"/>
        <v>166000</v>
      </c>
      <c r="AG21" s="13">
        <v>1012900</v>
      </c>
      <c r="AH21" s="13">
        <v>144986.07</v>
      </c>
      <c r="AI21" s="13">
        <f t="shared" si="22"/>
        <v>867913.92999999993</v>
      </c>
      <c r="AJ21" s="13">
        <v>124800</v>
      </c>
      <c r="AK21" s="13">
        <v>13622</v>
      </c>
      <c r="AL21" s="13">
        <f t="shared" si="11"/>
        <v>111178</v>
      </c>
      <c r="AM21" s="13">
        <v>1500000</v>
      </c>
      <c r="AN21" s="13">
        <v>0</v>
      </c>
      <c r="AO21" s="13">
        <f t="shared" si="23"/>
        <v>1500000</v>
      </c>
      <c r="AP21" s="13">
        <v>368000</v>
      </c>
      <c r="AQ21" s="13">
        <v>0</v>
      </c>
      <c r="AR21" s="13">
        <f t="shared" si="24"/>
        <v>368000</v>
      </c>
      <c r="AS21" s="13">
        <v>37000</v>
      </c>
      <c r="AT21" s="13">
        <v>37000</v>
      </c>
      <c r="AU21" s="13">
        <f t="shared" si="12"/>
        <v>0</v>
      </c>
      <c r="AV21" s="13">
        <v>0</v>
      </c>
      <c r="AW21" s="13">
        <v>0</v>
      </c>
      <c r="AX21" s="13">
        <f t="shared" si="20"/>
        <v>0</v>
      </c>
      <c r="AY21" s="2">
        <f t="shared" si="13"/>
        <v>3968700</v>
      </c>
      <c r="AZ21" s="2">
        <f t="shared" si="13"/>
        <v>439323.07</v>
      </c>
      <c r="BA21" s="2">
        <f t="shared" si="2"/>
        <v>3161376.9299999997</v>
      </c>
      <c r="BB21" s="13">
        <v>664000</v>
      </c>
      <c r="BC21" s="13">
        <v>0</v>
      </c>
      <c r="BD21" s="13">
        <f t="shared" si="14"/>
        <v>664000</v>
      </c>
      <c r="BE21" s="2">
        <f t="shared" si="3"/>
        <v>6280920</v>
      </c>
      <c r="BF21" s="2">
        <f t="shared" si="1"/>
        <v>1188890.6000000001</v>
      </c>
      <c r="BG21" s="2">
        <f t="shared" si="15"/>
        <v>5092029.4000000004</v>
      </c>
      <c r="BH21" s="13">
        <v>633000</v>
      </c>
      <c r="BI21" s="13"/>
      <c r="BJ21" s="13">
        <f t="shared" si="21"/>
        <v>633000</v>
      </c>
    </row>
    <row r="22" spans="1:62" x14ac:dyDescent="0.55000000000000004">
      <c r="A22" s="11">
        <v>14</v>
      </c>
      <c r="B22" s="12" t="s">
        <v>18</v>
      </c>
      <c r="C22" s="19">
        <v>388080</v>
      </c>
      <c r="D22" s="19">
        <v>194040</v>
      </c>
      <c r="E22" s="21">
        <f t="shared" si="4"/>
        <v>194040</v>
      </c>
      <c r="F22" s="13">
        <f t="shared" ref="F22:F83" si="25">200000</f>
        <v>200000</v>
      </c>
      <c r="G22" s="13">
        <v>57148</v>
      </c>
      <c r="H22" s="13">
        <f t="shared" si="5"/>
        <v>142852</v>
      </c>
      <c r="I22" s="13">
        <f>84000+72000+13500</f>
        <v>169500</v>
      </c>
      <c r="J22" s="13">
        <f>55850+6750</f>
        <v>62600</v>
      </c>
      <c r="K22" s="13">
        <f t="shared" si="6"/>
        <v>106900</v>
      </c>
      <c r="L22" s="13">
        <f>150000+763350+7000+38000+150228+579000+55212</f>
        <v>1742790</v>
      </c>
      <c r="M22" s="13">
        <v>891997.38</v>
      </c>
      <c r="N22" s="13">
        <f t="shared" si="7"/>
        <v>850792.62</v>
      </c>
      <c r="O22" s="2">
        <f t="shared" si="16"/>
        <v>2112290</v>
      </c>
      <c r="P22" s="2">
        <f t="shared" si="0"/>
        <v>1011745.38</v>
      </c>
      <c r="Q22" s="2">
        <f t="shared" si="8"/>
        <v>1100544.6200000001</v>
      </c>
      <c r="R22" s="13">
        <v>20000</v>
      </c>
      <c r="S22" s="13">
        <v>0</v>
      </c>
      <c r="T22" s="13">
        <f t="shared" si="17"/>
        <v>20000</v>
      </c>
      <c r="U22" s="13">
        <f>250000+199000</f>
        <v>449000</v>
      </c>
      <c r="V22" s="13">
        <f>220000+199000</f>
        <v>419000</v>
      </c>
      <c r="W22" s="13">
        <f t="shared" si="18"/>
        <v>30000</v>
      </c>
      <c r="X22" s="13">
        <v>0</v>
      </c>
      <c r="Y22" s="13">
        <v>0</v>
      </c>
      <c r="Z22" s="13">
        <f t="shared" si="9"/>
        <v>0</v>
      </c>
      <c r="AA22" s="13">
        <v>90000</v>
      </c>
      <c r="AB22" s="13">
        <v>51575</v>
      </c>
      <c r="AC22" s="13">
        <f t="shared" si="19"/>
        <v>38425</v>
      </c>
      <c r="AD22" s="13">
        <v>129100</v>
      </c>
      <c r="AE22" s="13">
        <v>0</v>
      </c>
      <c r="AF22" s="13">
        <f t="shared" si="10"/>
        <v>129100</v>
      </c>
      <c r="AG22" s="13">
        <v>1012900</v>
      </c>
      <c r="AH22" s="13">
        <v>197187.32</v>
      </c>
      <c r="AI22" s="13">
        <f t="shared" si="22"/>
        <v>815712.67999999993</v>
      </c>
      <c r="AJ22" s="13">
        <v>148800</v>
      </c>
      <c r="AK22" s="13">
        <v>7809.13</v>
      </c>
      <c r="AL22" s="13">
        <f t="shared" si="11"/>
        <v>140990.87</v>
      </c>
      <c r="AM22" s="13">
        <v>1500000</v>
      </c>
      <c r="AN22" s="13">
        <v>0</v>
      </c>
      <c r="AO22" s="13">
        <f t="shared" si="23"/>
        <v>1500000</v>
      </c>
      <c r="AP22" s="13">
        <v>368000</v>
      </c>
      <c r="AQ22" s="13">
        <v>0</v>
      </c>
      <c r="AR22" s="13">
        <f t="shared" si="24"/>
        <v>368000</v>
      </c>
      <c r="AS22" s="13">
        <v>37000</v>
      </c>
      <c r="AT22" s="13">
        <v>32850</v>
      </c>
      <c r="AU22" s="13">
        <f t="shared" si="12"/>
        <v>4150</v>
      </c>
      <c r="AV22" s="13">
        <v>0</v>
      </c>
      <c r="AW22" s="13">
        <v>0</v>
      </c>
      <c r="AX22" s="13">
        <f t="shared" si="20"/>
        <v>0</v>
      </c>
      <c r="AY22" s="2">
        <f t="shared" si="13"/>
        <v>3734800</v>
      </c>
      <c r="AZ22" s="2">
        <f t="shared" si="13"/>
        <v>708421.45000000007</v>
      </c>
      <c r="BA22" s="2">
        <f t="shared" si="2"/>
        <v>2654228.5499999998</v>
      </c>
      <c r="BB22" s="13">
        <v>1918000</v>
      </c>
      <c r="BC22" s="13">
        <v>0</v>
      </c>
      <c r="BD22" s="13">
        <f t="shared" si="14"/>
        <v>1918000</v>
      </c>
      <c r="BE22" s="2">
        <f t="shared" si="3"/>
        <v>8173170</v>
      </c>
      <c r="BF22" s="2">
        <f t="shared" si="1"/>
        <v>1914206.83</v>
      </c>
      <c r="BG22" s="2">
        <f t="shared" si="15"/>
        <v>6258963.1699999999</v>
      </c>
      <c r="BH22" s="13">
        <v>989000</v>
      </c>
      <c r="BI22" s="13"/>
      <c r="BJ22" s="13">
        <f t="shared" si="21"/>
        <v>989000</v>
      </c>
    </row>
    <row r="23" spans="1:62" x14ac:dyDescent="0.55000000000000004">
      <c r="A23" s="11">
        <v>15</v>
      </c>
      <c r="B23" s="12" t="s">
        <v>19</v>
      </c>
      <c r="C23" s="19">
        <v>542400</v>
      </c>
      <c r="D23" s="19">
        <v>271200</v>
      </c>
      <c r="E23" s="21">
        <f t="shared" si="4"/>
        <v>271200</v>
      </c>
      <c r="F23" s="13">
        <f>200000+2927925</f>
        <v>3127925</v>
      </c>
      <c r="G23" s="13">
        <v>32944</v>
      </c>
      <c r="H23" s="13">
        <f t="shared" si="5"/>
        <v>3094981</v>
      </c>
      <c r="I23" s="13">
        <f>171000+18000</f>
        <v>189000</v>
      </c>
      <c r="J23" s="13">
        <f>53000+9000</f>
        <v>62000</v>
      </c>
      <c r="K23" s="13">
        <f t="shared" si="6"/>
        <v>127000</v>
      </c>
      <c r="L23" s="13">
        <f>279000+135000</f>
        <v>414000</v>
      </c>
      <c r="M23" s="13">
        <v>378652.18</v>
      </c>
      <c r="N23" s="13">
        <f t="shared" si="7"/>
        <v>35347.820000000007</v>
      </c>
      <c r="O23" s="2">
        <f t="shared" si="16"/>
        <v>3730925</v>
      </c>
      <c r="P23" s="2">
        <f t="shared" si="0"/>
        <v>473596.18</v>
      </c>
      <c r="Q23" s="2">
        <f t="shared" si="8"/>
        <v>3257328.82</v>
      </c>
      <c r="R23" s="13">
        <v>20000</v>
      </c>
      <c r="S23" s="13">
        <v>0</v>
      </c>
      <c r="T23" s="13">
        <f t="shared" si="17"/>
        <v>20000</v>
      </c>
      <c r="U23" s="13">
        <v>170000</v>
      </c>
      <c r="V23" s="13">
        <v>170000</v>
      </c>
      <c r="W23" s="13">
        <f t="shared" si="18"/>
        <v>0</v>
      </c>
      <c r="X23" s="13">
        <v>0</v>
      </c>
      <c r="Y23" s="13">
        <v>0</v>
      </c>
      <c r="Z23" s="13">
        <f t="shared" si="9"/>
        <v>0</v>
      </c>
      <c r="AA23" s="13">
        <v>90000</v>
      </c>
      <c r="AB23" s="13">
        <v>27090</v>
      </c>
      <c r="AC23" s="13">
        <f t="shared" si="19"/>
        <v>62910</v>
      </c>
      <c r="AD23" s="13">
        <v>229800</v>
      </c>
      <c r="AE23" s="13">
        <v>0</v>
      </c>
      <c r="AF23" s="13">
        <f t="shared" si="10"/>
        <v>229800</v>
      </c>
      <c r="AG23" s="13">
        <v>1012900</v>
      </c>
      <c r="AH23" s="13">
        <v>191724.6</v>
      </c>
      <c r="AI23" s="13">
        <f t="shared" si="22"/>
        <v>821175.4</v>
      </c>
      <c r="AJ23" s="13">
        <v>124800</v>
      </c>
      <c r="AK23" s="13">
        <v>0</v>
      </c>
      <c r="AL23" s="13">
        <f t="shared" si="11"/>
        <v>124800</v>
      </c>
      <c r="AM23" s="13">
        <v>1500000</v>
      </c>
      <c r="AN23" s="13">
        <v>0</v>
      </c>
      <c r="AO23" s="13">
        <f t="shared" si="23"/>
        <v>1500000</v>
      </c>
      <c r="AP23" s="13">
        <v>368000</v>
      </c>
      <c r="AQ23" s="13">
        <v>0</v>
      </c>
      <c r="AR23" s="13">
        <f t="shared" si="24"/>
        <v>368000</v>
      </c>
      <c r="AS23" s="13">
        <v>37000</v>
      </c>
      <c r="AT23" s="13">
        <v>26800</v>
      </c>
      <c r="AU23" s="13">
        <f t="shared" si="12"/>
        <v>10200</v>
      </c>
      <c r="AV23" s="13">
        <v>0</v>
      </c>
      <c r="AW23" s="13">
        <v>0</v>
      </c>
      <c r="AX23" s="13">
        <f t="shared" si="20"/>
        <v>0</v>
      </c>
      <c r="AY23" s="2">
        <f t="shared" si="13"/>
        <v>3532500</v>
      </c>
      <c r="AZ23" s="2">
        <f t="shared" si="13"/>
        <v>415614.6</v>
      </c>
      <c r="BA23" s="2">
        <f t="shared" si="2"/>
        <v>2738685.4</v>
      </c>
      <c r="BB23" s="13">
        <v>29495300</v>
      </c>
      <c r="BC23" s="13">
        <v>0</v>
      </c>
      <c r="BD23" s="13">
        <f t="shared" si="14"/>
        <v>29495300</v>
      </c>
      <c r="BE23" s="2">
        <f t="shared" si="3"/>
        <v>37321125</v>
      </c>
      <c r="BF23" s="2">
        <f t="shared" si="1"/>
        <v>1160410.78</v>
      </c>
      <c r="BG23" s="2">
        <f t="shared" si="15"/>
        <v>36160714.219999999</v>
      </c>
      <c r="BH23" s="13">
        <v>633000</v>
      </c>
      <c r="BI23" s="13"/>
      <c r="BJ23" s="13">
        <f t="shared" si="21"/>
        <v>633000</v>
      </c>
    </row>
    <row r="24" spans="1:62" x14ac:dyDescent="0.55000000000000004">
      <c r="A24" s="11">
        <v>16</v>
      </c>
      <c r="B24" s="12" t="s">
        <v>20</v>
      </c>
      <c r="C24" s="19">
        <f>529800</f>
        <v>529800</v>
      </c>
      <c r="D24" s="19">
        <v>264900</v>
      </c>
      <c r="E24" s="21">
        <f t="shared" si="4"/>
        <v>264900</v>
      </c>
      <c r="F24" s="13">
        <f>200000+975000</f>
        <v>1175000</v>
      </c>
      <c r="G24" s="13">
        <v>241403.54</v>
      </c>
      <c r="H24" s="13">
        <f t="shared" si="5"/>
        <v>933596.46</v>
      </c>
      <c r="I24" s="13">
        <f>18000+240800</f>
        <v>258800</v>
      </c>
      <c r="J24" s="13">
        <v>130100</v>
      </c>
      <c r="K24" s="13">
        <f t="shared" si="6"/>
        <v>128700</v>
      </c>
      <c r="L24" s="13">
        <f>252000+21400+37000+15756</f>
        <v>326156</v>
      </c>
      <c r="M24" s="13">
        <v>200109.43</v>
      </c>
      <c r="N24" s="13">
        <f t="shared" si="7"/>
        <v>126046.57</v>
      </c>
      <c r="O24" s="2">
        <f t="shared" si="16"/>
        <v>1759956</v>
      </c>
      <c r="P24" s="2">
        <f t="shared" si="0"/>
        <v>571612.97</v>
      </c>
      <c r="Q24" s="2">
        <f t="shared" si="8"/>
        <v>1188343.03</v>
      </c>
      <c r="R24" s="13">
        <v>20000</v>
      </c>
      <c r="S24" s="13">
        <v>0</v>
      </c>
      <c r="T24" s="13">
        <f t="shared" si="17"/>
        <v>20000</v>
      </c>
      <c r="U24" s="13">
        <v>110000</v>
      </c>
      <c r="V24" s="13">
        <v>110000</v>
      </c>
      <c r="W24" s="13">
        <f t="shared" si="18"/>
        <v>0</v>
      </c>
      <c r="X24" s="13">
        <v>0</v>
      </c>
      <c r="Y24" s="13">
        <v>0</v>
      </c>
      <c r="Z24" s="13">
        <f t="shared" si="9"/>
        <v>0</v>
      </c>
      <c r="AA24" s="13">
        <v>90000</v>
      </c>
      <c r="AB24" s="13">
        <v>50000</v>
      </c>
      <c r="AC24" s="13">
        <f t="shared" si="19"/>
        <v>40000</v>
      </c>
      <c r="AD24" s="13">
        <v>204800</v>
      </c>
      <c r="AE24" s="13">
        <v>0</v>
      </c>
      <c r="AF24" s="13">
        <f t="shared" si="10"/>
        <v>204800</v>
      </c>
      <c r="AG24" s="13">
        <v>1012900</v>
      </c>
      <c r="AH24" s="13">
        <v>240973</v>
      </c>
      <c r="AI24" s="13">
        <f t="shared" si="22"/>
        <v>771927</v>
      </c>
      <c r="AJ24" s="13">
        <v>106800</v>
      </c>
      <c r="AK24" s="13">
        <v>0</v>
      </c>
      <c r="AL24" s="13">
        <f t="shared" si="11"/>
        <v>106800</v>
      </c>
      <c r="AM24" s="13">
        <v>1500000</v>
      </c>
      <c r="AN24" s="13">
        <v>0</v>
      </c>
      <c r="AO24" s="13">
        <f t="shared" si="23"/>
        <v>1500000</v>
      </c>
      <c r="AP24" s="13">
        <v>368000</v>
      </c>
      <c r="AQ24" s="13">
        <v>0</v>
      </c>
      <c r="AR24" s="13">
        <f t="shared" si="24"/>
        <v>368000</v>
      </c>
      <c r="AS24" s="13">
        <v>37000</v>
      </c>
      <c r="AT24" s="13">
        <v>33600</v>
      </c>
      <c r="AU24" s="13">
        <f t="shared" si="12"/>
        <v>3400</v>
      </c>
      <c r="AV24" s="13">
        <v>0</v>
      </c>
      <c r="AW24" s="13">
        <v>0</v>
      </c>
      <c r="AX24" s="13">
        <f t="shared" si="20"/>
        <v>0</v>
      </c>
      <c r="AY24" s="2">
        <f t="shared" si="13"/>
        <v>3429500</v>
      </c>
      <c r="AZ24" s="2">
        <f t="shared" si="13"/>
        <v>434573</v>
      </c>
      <c r="BA24" s="2">
        <f t="shared" si="2"/>
        <v>2623527</v>
      </c>
      <c r="BB24" s="13">
        <v>0</v>
      </c>
      <c r="BC24" s="13">
        <v>0</v>
      </c>
      <c r="BD24" s="13">
        <f t="shared" si="14"/>
        <v>0</v>
      </c>
      <c r="BE24" s="2">
        <f t="shared" si="3"/>
        <v>5739256</v>
      </c>
      <c r="BF24" s="2">
        <f t="shared" si="1"/>
        <v>1271085.97</v>
      </c>
      <c r="BG24" s="2">
        <f t="shared" si="15"/>
        <v>4468170.03</v>
      </c>
      <c r="BH24" s="13">
        <v>366000</v>
      </c>
      <c r="BI24" s="13"/>
      <c r="BJ24" s="13">
        <f t="shared" si="21"/>
        <v>366000</v>
      </c>
    </row>
    <row r="25" spans="1:62" x14ac:dyDescent="0.55000000000000004">
      <c r="A25" s="11">
        <v>17</v>
      </c>
      <c r="B25" s="12" t="s">
        <v>21</v>
      </c>
      <c r="C25" s="19">
        <v>697320</v>
      </c>
      <c r="D25" s="19">
        <v>348660</v>
      </c>
      <c r="E25" s="21">
        <f t="shared" si="4"/>
        <v>348660</v>
      </c>
      <c r="F25" s="13">
        <f>200000+1712214</f>
        <v>1912214</v>
      </c>
      <c r="G25" s="13">
        <v>171996.1</v>
      </c>
      <c r="H25" s="13">
        <f t="shared" si="5"/>
        <v>1740217.9</v>
      </c>
      <c r="I25" s="13">
        <f>217200+22500</f>
        <v>239700</v>
      </c>
      <c r="J25" s="13">
        <f>77650</f>
        <v>77650</v>
      </c>
      <c r="K25" s="13">
        <f t="shared" si="6"/>
        <v>162050</v>
      </c>
      <c r="L25" s="13">
        <f>264000+73830+24548+30000</f>
        <v>392378</v>
      </c>
      <c r="M25" s="13">
        <v>225453.41</v>
      </c>
      <c r="N25" s="13">
        <f t="shared" si="7"/>
        <v>166924.59</v>
      </c>
      <c r="O25" s="2">
        <f t="shared" si="16"/>
        <v>2544292</v>
      </c>
      <c r="P25" s="2">
        <f t="shared" si="0"/>
        <v>475099.51</v>
      </c>
      <c r="Q25" s="2">
        <f t="shared" si="8"/>
        <v>2069192.49</v>
      </c>
      <c r="R25" s="13">
        <v>20000</v>
      </c>
      <c r="S25" s="13">
        <v>20000</v>
      </c>
      <c r="T25" s="13">
        <f t="shared" si="17"/>
        <v>0</v>
      </c>
      <c r="U25" s="13">
        <v>210000</v>
      </c>
      <c r="V25" s="13">
        <v>210000</v>
      </c>
      <c r="W25" s="13">
        <f t="shared" si="18"/>
        <v>0</v>
      </c>
      <c r="X25" s="13">
        <v>500000</v>
      </c>
      <c r="Y25" s="13">
        <v>0</v>
      </c>
      <c r="Z25" s="13">
        <f t="shared" si="9"/>
        <v>500000</v>
      </c>
      <c r="AA25" s="13">
        <v>90000</v>
      </c>
      <c r="AB25" s="13">
        <v>24870</v>
      </c>
      <c r="AC25" s="13">
        <f t="shared" si="19"/>
        <v>65130</v>
      </c>
      <c r="AD25" s="13">
        <v>420000</v>
      </c>
      <c r="AE25" s="13">
        <v>0</v>
      </c>
      <c r="AF25" s="13">
        <f t="shared" si="10"/>
        <v>420000</v>
      </c>
      <c r="AG25" s="13">
        <v>1012900</v>
      </c>
      <c r="AH25" s="13">
        <v>157879.88</v>
      </c>
      <c r="AI25" s="13">
        <f t="shared" si="22"/>
        <v>855020.12</v>
      </c>
      <c r="AJ25" s="13">
        <v>136800</v>
      </c>
      <c r="AK25" s="13">
        <v>0</v>
      </c>
      <c r="AL25" s="13">
        <f t="shared" si="11"/>
        <v>136800</v>
      </c>
      <c r="AM25" s="13">
        <v>1500000</v>
      </c>
      <c r="AN25" s="13">
        <v>0</v>
      </c>
      <c r="AO25" s="13">
        <f t="shared" si="23"/>
        <v>1500000</v>
      </c>
      <c r="AP25" s="13">
        <v>368000</v>
      </c>
      <c r="AQ25" s="13">
        <v>0</v>
      </c>
      <c r="AR25" s="13">
        <f t="shared" si="24"/>
        <v>368000</v>
      </c>
      <c r="AS25" s="13">
        <v>37000</v>
      </c>
      <c r="AT25" s="13">
        <v>37000</v>
      </c>
      <c r="AU25" s="13">
        <f t="shared" si="12"/>
        <v>0</v>
      </c>
      <c r="AV25" s="13">
        <v>0</v>
      </c>
      <c r="AW25" s="13">
        <v>0</v>
      </c>
      <c r="AX25" s="13">
        <f t="shared" si="20"/>
        <v>0</v>
      </c>
      <c r="AY25" s="2">
        <f t="shared" si="13"/>
        <v>4274700</v>
      </c>
      <c r="AZ25" s="2">
        <f t="shared" si="13"/>
        <v>429749.88</v>
      </c>
      <c r="BA25" s="2">
        <f t="shared" si="2"/>
        <v>3476950.12</v>
      </c>
      <c r="BB25" s="13">
        <v>0</v>
      </c>
      <c r="BC25" s="13">
        <v>0</v>
      </c>
      <c r="BD25" s="13">
        <f t="shared" si="14"/>
        <v>0</v>
      </c>
      <c r="BE25" s="2">
        <f t="shared" si="3"/>
        <v>7536312</v>
      </c>
      <c r="BF25" s="2">
        <f t="shared" si="1"/>
        <v>1273509.3900000001</v>
      </c>
      <c r="BG25" s="2">
        <f t="shared" si="15"/>
        <v>6262802.6099999994</v>
      </c>
      <c r="BH25" s="13">
        <v>811000</v>
      </c>
      <c r="BI25" s="13"/>
      <c r="BJ25" s="13">
        <f t="shared" si="21"/>
        <v>811000</v>
      </c>
    </row>
    <row r="26" spans="1:62" x14ac:dyDescent="0.55000000000000004">
      <c r="A26" s="11">
        <v>18</v>
      </c>
      <c r="B26" s="12" t="s">
        <v>22</v>
      </c>
      <c r="C26" s="19">
        <f>371340+90000</f>
        <v>461340</v>
      </c>
      <c r="D26" s="19">
        <v>221670</v>
      </c>
      <c r="E26" s="21">
        <f t="shared" si="4"/>
        <v>239670</v>
      </c>
      <c r="F26" s="13">
        <f t="shared" si="25"/>
        <v>200000</v>
      </c>
      <c r="G26" s="13">
        <v>32496.799999999999</v>
      </c>
      <c r="H26" s="13">
        <f t="shared" si="5"/>
        <v>167503.20000000001</v>
      </c>
      <c r="I26" s="13">
        <f>42000+87000+13500+3750</f>
        <v>146250</v>
      </c>
      <c r="J26" s="13">
        <v>51250</v>
      </c>
      <c r="K26" s="13">
        <f t="shared" si="6"/>
        <v>95000</v>
      </c>
      <c r="L26" s="13">
        <f>192000+377000+100000+44000+18191+515500</f>
        <v>1246691</v>
      </c>
      <c r="M26" s="13">
        <v>430746</v>
      </c>
      <c r="N26" s="13">
        <f t="shared" si="7"/>
        <v>815945</v>
      </c>
      <c r="O26" s="2">
        <f t="shared" si="16"/>
        <v>1592941</v>
      </c>
      <c r="P26" s="2">
        <f t="shared" si="0"/>
        <v>514492.8</v>
      </c>
      <c r="Q26" s="2">
        <f t="shared" si="8"/>
        <v>1078448.2</v>
      </c>
      <c r="R26" s="13">
        <v>20000</v>
      </c>
      <c r="S26" s="13">
        <v>0</v>
      </c>
      <c r="T26" s="13">
        <f t="shared" si="17"/>
        <v>20000</v>
      </c>
      <c r="U26" s="13">
        <v>670000</v>
      </c>
      <c r="V26" s="13">
        <v>670000</v>
      </c>
      <c r="W26" s="13">
        <f t="shared" si="18"/>
        <v>0</v>
      </c>
      <c r="X26" s="13">
        <v>0</v>
      </c>
      <c r="Y26" s="13">
        <v>0</v>
      </c>
      <c r="Z26" s="13">
        <f t="shared" si="9"/>
        <v>0</v>
      </c>
      <c r="AA26" s="13">
        <v>90000</v>
      </c>
      <c r="AB26" s="13">
        <v>7850</v>
      </c>
      <c r="AC26" s="13">
        <f t="shared" si="19"/>
        <v>82150</v>
      </c>
      <c r="AD26" s="13">
        <v>986000</v>
      </c>
      <c r="AE26" s="13">
        <v>361600</v>
      </c>
      <c r="AF26" s="13">
        <f t="shared" si="10"/>
        <v>624400</v>
      </c>
      <c r="AG26" s="13">
        <v>1012900</v>
      </c>
      <c r="AH26" s="13">
        <v>180000</v>
      </c>
      <c r="AI26" s="13">
        <f t="shared" si="22"/>
        <v>832900</v>
      </c>
      <c r="AJ26" s="13">
        <v>278040</v>
      </c>
      <c r="AK26" s="13">
        <v>0</v>
      </c>
      <c r="AL26" s="13">
        <f t="shared" si="11"/>
        <v>278040</v>
      </c>
      <c r="AM26" s="13">
        <v>1500000</v>
      </c>
      <c r="AN26" s="13">
        <v>0</v>
      </c>
      <c r="AO26" s="13">
        <f t="shared" si="23"/>
        <v>1500000</v>
      </c>
      <c r="AP26" s="13">
        <v>368000</v>
      </c>
      <c r="AQ26" s="13">
        <v>0</v>
      </c>
      <c r="AR26" s="13">
        <f t="shared" si="24"/>
        <v>368000</v>
      </c>
      <c r="AS26" s="13">
        <v>37000</v>
      </c>
      <c r="AT26" s="13">
        <v>37000</v>
      </c>
      <c r="AU26" s="13">
        <f t="shared" si="12"/>
        <v>0</v>
      </c>
      <c r="AV26" s="13">
        <v>0</v>
      </c>
      <c r="AW26" s="13">
        <v>0</v>
      </c>
      <c r="AX26" s="13">
        <f t="shared" si="20"/>
        <v>0</v>
      </c>
      <c r="AY26" s="2">
        <f t="shared" si="13"/>
        <v>4941940</v>
      </c>
      <c r="AZ26" s="2">
        <f t="shared" si="13"/>
        <v>1256450</v>
      </c>
      <c r="BA26" s="2">
        <f t="shared" si="2"/>
        <v>3317490</v>
      </c>
      <c r="BB26" s="13">
        <v>1848000</v>
      </c>
      <c r="BC26" s="13">
        <v>0</v>
      </c>
      <c r="BD26" s="13">
        <f t="shared" si="14"/>
        <v>1848000</v>
      </c>
      <c r="BE26" s="2">
        <f t="shared" si="3"/>
        <v>8864221</v>
      </c>
      <c r="BF26" s="2">
        <f t="shared" si="1"/>
        <v>1992612.8</v>
      </c>
      <c r="BG26" s="2">
        <f t="shared" si="15"/>
        <v>6871608.2000000002</v>
      </c>
      <c r="BH26" s="13">
        <v>2858000</v>
      </c>
      <c r="BI26" s="13"/>
      <c r="BJ26" s="13">
        <f t="shared" si="21"/>
        <v>2858000</v>
      </c>
    </row>
    <row r="27" spans="1:62" x14ac:dyDescent="0.55000000000000004">
      <c r="A27" s="11">
        <v>19</v>
      </c>
      <c r="B27" s="12" t="s">
        <v>23</v>
      </c>
      <c r="C27" s="19">
        <v>672900</v>
      </c>
      <c r="D27" s="19">
        <v>336450</v>
      </c>
      <c r="E27" s="21">
        <f t="shared" si="4"/>
        <v>336450</v>
      </c>
      <c r="F27" s="13">
        <f>200000+360000</f>
        <v>560000</v>
      </c>
      <c r="G27" s="13">
        <v>513613.73</v>
      </c>
      <c r="H27" s="13">
        <f t="shared" si="5"/>
        <v>46386.270000000019</v>
      </c>
      <c r="I27" s="13">
        <f>172200+22500</f>
        <v>194700</v>
      </c>
      <c r="J27" s="13">
        <v>68650</v>
      </c>
      <c r="K27" s="13">
        <f t="shared" si="6"/>
        <v>126050</v>
      </c>
      <c r="L27" s="13">
        <f>195000+43335+32000+1512980+161784</f>
        <v>1945099</v>
      </c>
      <c r="M27" s="13">
        <v>176246</v>
      </c>
      <c r="N27" s="13">
        <f t="shared" si="7"/>
        <v>1768853</v>
      </c>
      <c r="O27" s="2">
        <f t="shared" si="16"/>
        <v>2699799</v>
      </c>
      <c r="P27" s="2">
        <f t="shared" si="0"/>
        <v>758509.73</v>
      </c>
      <c r="Q27" s="2">
        <f t="shared" si="8"/>
        <v>1941289.27</v>
      </c>
      <c r="R27" s="13">
        <v>20000</v>
      </c>
      <c r="S27" s="13">
        <v>0</v>
      </c>
      <c r="T27" s="13">
        <f t="shared" si="17"/>
        <v>20000</v>
      </c>
      <c r="U27" s="13">
        <v>490000</v>
      </c>
      <c r="V27" s="13">
        <v>490000</v>
      </c>
      <c r="W27" s="13">
        <f t="shared" si="18"/>
        <v>0</v>
      </c>
      <c r="X27" s="13">
        <v>0</v>
      </c>
      <c r="Y27" s="13">
        <v>0</v>
      </c>
      <c r="Z27" s="13">
        <f t="shared" si="9"/>
        <v>0</v>
      </c>
      <c r="AA27" s="13">
        <v>90000</v>
      </c>
      <c r="AB27" s="13"/>
      <c r="AC27" s="13">
        <f t="shared" si="19"/>
        <v>90000</v>
      </c>
      <c r="AD27" s="13">
        <v>305700</v>
      </c>
      <c r="AE27" s="13">
        <v>0</v>
      </c>
      <c r="AF27" s="13">
        <f t="shared" si="10"/>
        <v>305700</v>
      </c>
      <c r="AG27" s="13">
        <v>1012900</v>
      </c>
      <c r="AH27" s="13">
        <v>198219.35</v>
      </c>
      <c r="AI27" s="13">
        <f t="shared" si="22"/>
        <v>814680.65</v>
      </c>
      <c r="AJ27" s="13">
        <v>220800</v>
      </c>
      <c r="AK27" s="13">
        <v>0</v>
      </c>
      <c r="AL27" s="13">
        <f t="shared" si="11"/>
        <v>220800</v>
      </c>
      <c r="AM27" s="13">
        <v>1500000</v>
      </c>
      <c r="AN27" s="13">
        <v>0</v>
      </c>
      <c r="AO27" s="13">
        <f t="shared" si="23"/>
        <v>1500000</v>
      </c>
      <c r="AP27" s="13">
        <v>368000</v>
      </c>
      <c r="AQ27" s="13">
        <v>0</v>
      </c>
      <c r="AR27" s="13">
        <f t="shared" si="24"/>
        <v>368000</v>
      </c>
      <c r="AS27" s="13">
        <v>37000</v>
      </c>
      <c r="AT27" s="13">
        <v>0</v>
      </c>
      <c r="AU27" s="13">
        <f t="shared" si="12"/>
        <v>37000</v>
      </c>
      <c r="AV27" s="13">
        <v>0</v>
      </c>
      <c r="AW27" s="13">
        <v>0</v>
      </c>
      <c r="AX27" s="13">
        <f t="shared" si="20"/>
        <v>0</v>
      </c>
      <c r="AY27" s="2">
        <f t="shared" si="13"/>
        <v>4024400</v>
      </c>
      <c r="AZ27" s="2">
        <f t="shared" si="13"/>
        <v>688219.35</v>
      </c>
      <c r="BA27" s="2">
        <f t="shared" si="2"/>
        <v>2931180.65</v>
      </c>
      <c r="BB27" s="13">
        <v>0</v>
      </c>
      <c r="BC27" s="13">
        <v>0</v>
      </c>
      <c r="BD27" s="13">
        <f t="shared" si="14"/>
        <v>0</v>
      </c>
      <c r="BE27" s="2">
        <f t="shared" si="3"/>
        <v>7417099</v>
      </c>
      <c r="BF27" s="2">
        <f t="shared" si="1"/>
        <v>1783179.08</v>
      </c>
      <c r="BG27" s="2">
        <f t="shared" si="15"/>
        <v>5633919.9199999999</v>
      </c>
      <c r="BH27" s="13">
        <v>2057000</v>
      </c>
      <c r="BI27" s="13"/>
      <c r="BJ27" s="13">
        <f t="shared" si="21"/>
        <v>2057000</v>
      </c>
    </row>
    <row r="28" spans="1:62" x14ac:dyDescent="0.55000000000000004">
      <c r="A28" s="11">
        <v>20</v>
      </c>
      <c r="B28" s="12" t="s">
        <v>24</v>
      </c>
      <c r="C28" s="19">
        <v>395760</v>
      </c>
      <c r="D28" s="19">
        <v>197880</v>
      </c>
      <c r="E28" s="21">
        <f t="shared" si="4"/>
        <v>197880</v>
      </c>
      <c r="F28" s="13">
        <f>200000+534000</f>
        <v>734000</v>
      </c>
      <c r="G28" s="13">
        <v>205534.27</v>
      </c>
      <c r="H28" s="13">
        <f t="shared" si="5"/>
        <v>528465.73</v>
      </c>
      <c r="I28" s="13">
        <f>150000+13500</f>
        <v>163500</v>
      </c>
      <c r="J28" s="13">
        <v>56750</v>
      </c>
      <c r="K28" s="13">
        <f t="shared" si="6"/>
        <v>106750</v>
      </c>
      <c r="L28" s="13">
        <f>141000+34000+49240</f>
        <v>224240</v>
      </c>
      <c r="M28" s="13">
        <v>211317.06</v>
      </c>
      <c r="N28" s="13">
        <f t="shared" si="7"/>
        <v>12922.940000000002</v>
      </c>
      <c r="O28" s="2">
        <f t="shared" si="16"/>
        <v>1121740</v>
      </c>
      <c r="P28" s="2">
        <f t="shared" si="0"/>
        <v>473601.33</v>
      </c>
      <c r="Q28" s="2">
        <f t="shared" si="8"/>
        <v>648138.66999999993</v>
      </c>
      <c r="R28" s="13">
        <v>20000</v>
      </c>
      <c r="S28" s="13">
        <v>0</v>
      </c>
      <c r="T28" s="13">
        <f t="shared" si="17"/>
        <v>20000</v>
      </c>
      <c r="U28" s="13">
        <v>370000</v>
      </c>
      <c r="V28" s="13">
        <v>290000</v>
      </c>
      <c r="W28" s="13">
        <f t="shared" si="18"/>
        <v>80000</v>
      </c>
      <c r="X28" s="13">
        <v>0</v>
      </c>
      <c r="Y28" s="13">
        <v>0</v>
      </c>
      <c r="Z28" s="13">
        <f t="shared" si="9"/>
        <v>0</v>
      </c>
      <c r="AA28" s="13">
        <v>90000</v>
      </c>
      <c r="AB28" s="13"/>
      <c r="AC28" s="13">
        <f t="shared" si="19"/>
        <v>90000</v>
      </c>
      <c r="AD28" s="13">
        <v>240000</v>
      </c>
      <c r="AE28" s="13">
        <v>0</v>
      </c>
      <c r="AF28" s="13">
        <f t="shared" si="10"/>
        <v>240000</v>
      </c>
      <c r="AG28" s="13">
        <v>1012900</v>
      </c>
      <c r="AH28" s="13">
        <v>182438.73</v>
      </c>
      <c r="AI28" s="13">
        <f t="shared" si="22"/>
        <v>830461.27</v>
      </c>
      <c r="AJ28" s="13">
        <v>184800</v>
      </c>
      <c r="AK28" s="13">
        <v>156120</v>
      </c>
      <c r="AL28" s="13">
        <f t="shared" si="11"/>
        <v>28680</v>
      </c>
      <c r="AM28" s="13">
        <v>1500000</v>
      </c>
      <c r="AN28" s="13">
        <v>0</v>
      </c>
      <c r="AO28" s="13">
        <f t="shared" si="23"/>
        <v>1500000</v>
      </c>
      <c r="AP28" s="13">
        <v>432000</v>
      </c>
      <c r="AQ28" s="13">
        <v>0</v>
      </c>
      <c r="AR28" s="13">
        <f t="shared" si="24"/>
        <v>432000</v>
      </c>
      <c r="AS28" s="13">
        <v>37000</v>
      </c>
      <c r="AT28" s="13">
        <v>33400</v>
      </c>
      <c r="AU28" s="13">
        <f t="shared" si="12"/>
        <v>3600</v>
      </c>
      <c r="AV28" s="13">
        <v>0</v>
      </c>
      <c r="AW28" s="13">
        <v>0</v>
      </c>
      <c r="AX28" s="13">
        <f t="shared" si="20"/>
        <v>0</v>
      </c>
      <c r="AY28" s="2">
        <f t="shared" si="13"/>
        <v>3866700</v>
      </c>
      <c r="AZ28" s="2">
        <f t="shared" si="13"/>
        <v>661958.73</v>
      </c>
      <c r="BA28" s="2">
        <f t="shared" si="2"/>
        <v>2769141.27</v>
      </c>
      <c r="BB28" s="13">
        <v>66503000</v>
      </c>
      <c r="BC28" s="13">
        <v>0</v>
      </c>
      <c r="BD28" s="13">
        <f t="shared" si="14"/>
        <v>66503000</v>
      </c>
      <c r="BE28" s="2">
        <f t="shared" si="3"/>
        <v>71907200</v>
      </c>
      <c r="BF28" s="2">
        <f t="shared" si="1"/>
        <v>1333440.06</v>
      </c>
      <c r="BG28" s="2">
        <f t="shared" si="15"/>
        <v>70573759.939999998</v>
      </c>
      <c r="BH28" s="13">
        <v>1523000</v>
      </c>
      <c r="BI28" s="13"/>
      <c r="BJ28" s="13">
        <f t="shared" si="21"/>
        <v>1523000</v>
      </c>
    </row>
    <row r="29" spans="1:62" x14ac:dyDescent="0.55000000000000004">
      <c r="A29" s="11">
        <v>21</v>
      </c>
      <c r="B29" s="12" t="s">
        <v>25</v>
      </c>
      <c r="C29" s="19">
        <f>553140+108000</f>
        <v>661140</v>
      </c>
      <c r="D29" s="19">
        <v>249300</v>
      </c>
      <c r="E29" s="21">
        <f t="shared" si="4"/>
        <v>411840</v>
      </c>
      <c r="F29" s="13">
        <f>200000+828000</f>
        <v>1028000</v>
      </c>
      <c r="G29" s="13">
        <v>254395</v>
      </c>
      <c r="H29" s="13">
        <f t="shared" si="5"/>
        <v>773605</v>
      </c>
      <c r="I29" s="13">
        <f>159900+18000+4500</f>
        <v>182400</v>
      </c>
      <c r="J29" s="13">
        <f>79950+8250</f>
        <v>88200</v>
      </c>
      <c r="K29" s="13">
        <f t="shared" si="6"/>
        <v>94200</v>
      </c>
      <c r="L29" s="13">
        <f>165000+64200+39000</f>
        <v>268200</v>
      </c>
      <c r="M29" s="13">
        <v>190970.52</v>
      </c>
      <c r="N29" s="13">
        <f t="shared" si="7"/>
        <v>77229.48000000001</v>
      </c>
      <c r="O29" s="2">
        <f t="shared" si="16"/>
        <v>1478600</v>
      </c>
      <c r="P29" s="2">
        <f t="shared" si="0"/>
        <v>533565.52</v>
      </c>
      <c r="Q29" s="2">
        <f t="shared" si="8"/>
        <v>945034.48</v>
      </c>
      <c r="R29" s="13">
        <v>20000</v>
      </c>
      <c r="S29" s="13">
        <v>0</v>
      </c>
      <c r="T29" s="13">
        <f t="shared" si="17"/>
        <v>20000</v>
      </c>
      <c r="U29" s="13">
        <v>470000</v>
      </c>
      <c r="V29" s="13">
        <v>450000</v>
      </c>
      <c r="W29" s="13">
        <f t="shared" si="18"/>
        <v>20000</v>
      </c>
      <c r="X29" s="13">
        <v>0</v>
      </c>
      <c r="Y29" s="13">
        <v>0</v>
      </c>
      <c r="Z29" s="13">
        <f t="shared" si="9"/>
        <v>0</v>
      </c>
      <c r="AA29" s="13">
        <v>90000</v>
      </c>
      <c r="AB29" s="13">
        <v>5000</v>
      </c>
      <c r="AC29" s="13">
        <f t="shared" si="19"/>
        <v>85000</v>
      </c>
      <c r="AD29" s="13">
        <v>418400</v>
      </c>
      <c r="AE29" s="13">
        <v>0</v>
      </c>
      <c r="AF29" s="13">
        <f t="shared" si="10"/>
        <v>418400</v>
      </c>
      <c r="AG29" s="13">
        <v>1012900</v>
      </c>
      <c r="AH29" s="13">
        <v>222345.82</v>
      </c>
      <c r="AI29" s="13">
        <f t="shared" si="22"/>
        <v>790554.17999999993</v>
      </c>
      <c r="AJ29" s="13">
        <v>214800</v>
      </c>
      <c r="AK29" s="13">
        <v>50000</v>
      </c>
      <c r="AL29" s="13">
        <f t="shared" si="11"/>
        <v>164800</v>
      </c>
      <c r="AM29" s="13">
        <v>1500000</v>
      </c>
      <c r="AN29" s="13">
        <v>0</v>
      </c>
      <c r="AO29" s="13">
        <f t="shared" si="23"/>
        <v>1500000</v>
      </c>
      <c r="AP29" s="13">
        <v>432000</v>
      </c>
      <c r="AQ29" s="13">
        <v>207400</v>
      </c>
      <c r="AR29" s="13">
        <f t="shared" si="24"/>
        <v>224600</v>
      </c>
      <c r="AS29" s="13">
        <v>37000</v>
      </c>
      <c r="AT29" s="13">
        <v>37000</v>
      </c>
      <c r="AU29" s="13">
        <f t="shared" si="12"/>
        <v>0</v>
      </c>
      <c r="AV29" s="13">
        <v>0</v>
      </c>
      <c r="AW29" s="13">
        <v>0</v>
      </c>
      <c r="AX29" s="13">
        <f t="shared" si="20"/>
        <v>0</v>
      </c>
      <c r="AY29" s="2">
        <f t="shared" si="13"/>
        <v>4175100</v>
      </c>
      <c r="AZ29" s="2">
        <f t="shared" si="13"/>
        <v>971745.82000000007</v>
      </c>
      <c r="BA29" s="2">
        <f t="shared" si="2"/>
        <v>2978754.1799999997</v>
      </c>
      <c r="BB29" s="13">
        <v>17019000</v>
      </c>
      <c r="BC29" s="13">
        <v>0</v>
      </c>
      <c r="BD29" s="13">
        <f t="shared" si="14"/>
        <v>17019000</v>
      </c>
      <c r="BE29" s="2">
        <f t="shared" si="3"/>
        <v>23353840</v>
      </c>
      <c r="BF29" s="2">
        <f t="shared" si="1"/>
        <v>1754611.34</v>
      </c>
      <c r="BG29" s="2">
        <f t="shared" si="15"/>
        <v>21599228.66</v>
      </c>
      <c r="BH29" s="13">
        <v>1968000</v>
      </c>
      <c r="BI29" s="13"/>
      <c r="BJ29" s="13">
        <f t="shared" si="21"/>
        <v>1968000</v>
      </c>
    </row>
    <row r="30" spans="1:62" x14ac:dyDescent="0.55000000000000004">
      <c r="A30" s="11">
        <v>22</v>
      </c>
      <c r="B30" s="12" t="s">
        <v>26</v>
      </c>
      <c r="C30" s="19">
        <v>651540</v>
      </c>
      <c r="D30" s="19">
        <v>325770</v>
      </c>
      <c r="E30" s="21">
        <f t="shared" si="4"/>
        <v>325770</v>
      </c>
      <c r="F30" s="13">
        <f t="shared" si="25"/>
        <v>200000</v>
      </c>
      <c r="G30" s="13">
        <v>96687</v>
      </c>
      <c r="H30" s="13">
        <f t="shared" si="5"/>
        <v>103313</v>
      </c>
      <c r="I30" s="13">
        <f>90000+159000+22500</f>
        <v>271500</v>
      </c>
      <c r="J30" s="13">
        <f>104000+11250</f>
        <v>115250</v>
      </c>
      <c r="K30" s="13">
        <f t="shared" si="6"/>
        <v>156250</v>
      </c>
      <c r="L30" s="13">
        <f>177000+26888+37000+132252+1350000</f>
        <v>1723140</v>
      </c>
      <c r="M30" s="13">
        <v>116230.02</v>
      </c>
      <c r="N30" s="13">
        <f t="shared" si="7"/>
        <v>1606909.98</v>
      </c>
      <c r="O30" s="2">
        <f t="shared" si="16"/>
        <v>2194640</v>
      </c>
      <c r="P30" s="2">
        <f t="shared" si="0"/>
        <v>328167.02</v>
      </c>
      <c r="Q30" s="2">
        <f t="shared" si="8"/>
        <v>1866472.98</v>
      </c>
      <c r="R30" s="13">
        <v>20000</v>
      </c>
      <c r="S30" s="13">
        <v>0</v>
      </c>
      <c r="T30" s="13">
        <f t="shared" si="17"/>
        <v>20000</v>
      </c>
      <c r="U30" s="13">
        <v>530000</v>
      </c>
      <c r="V30" s="13">
        <v>447000</v>
      </c>
      <c r="W30" s="13">
        <f t="shared" si="18"/>
        <v>83000</v>
      </c>
      <c r="X30" s="13">
        <v>0</v>
      </c>
      <c r="Y30" s="13">
        <v>0</v>
      </c>
      <c r="Z30" s="13">
        <f t="shared" si="9"/>
        <v>0</v>
      </c>
      <c r="AA30" s="13">
        <v>90000</v>
      </c>
      <c r="AB30" s="13"/>
      <c r="AC30" s="13">
        <f t="shared" si="19"/>
        <v>90000</v>
      </c>
      <c r="AD30" s="13">
        <v>354760</v>
      </c>
      <c r="AE30" s="13">
        <v>0</v>
      </c>
      <c r="AF30" s="13">
        <f t="shared" si="10"/>
        <v>354760</v>
      </c>
      <c r="AG30" s="13">
        <v>1012900</v>
      </c>
      <c r="AH30" s="13">
        <v>224087.62</v>
      </c>
      <c r="AI30" s="13">
        <f t="shared" si="22"/>
        <v>788812.38</v>
      </c>
      <c r="AJ30" s="13">
        <v>232800</v>
      </c>
      <c r="AK30" s="13">
        <v>13204</v>
      </c>
      <c r="AL30" s="13">
        <f t="shared" si="11"/>
        <v>219596</v>
      </c>
      <c r="AM30" s="13">
        <v>1500000</v>
      </c>
      <c r="AN30" s="13">
        <v>0</v>
      </c>
      <c r="AO30" s="13">
        <f t="shared" si="23"/>
        <v>1500000</v>
      </c>
      <c r="AP30" s="13">
        <v>368000</v>
      </c>
      <c r="AQ30" s="13">
        <v>0</v>
      </c>
      <c r="AR30" s="13">
        <f t="shared" si="24"/>
        <v>368000</v>
      </c>
      <c r="AS30" s="13">
        <v>37000</v>
      </c>
      <c r="AT30" s="13">
        <v>37000</v>
      </c>
      <c r="AU30" s="13">
        <f t="shared" si="12"/>
        <v>0</v>
      </c>
      <c r="AV30" s="13">
        <v>0</v>
      </c>
      <c r="AW30" s="13">
        <v>0</v>
      </c>
      <c r="AX30" s="13">
        <f t="shared" si="20"/>
        <v>0</v>
      </c>
      <c r="AY30" s="2">
        <f t="shared" si="13"/>
        <v>4125460</v>
      </c>
      <c r="AZ30" s="2">
        <f t="shared" si="13"/>
        <v>721291.62</v>
      </c>
      <c r="BA30" s="2">
        <f t="shared" si="2"/>
        <v>3036168.38</v>
      </c>
      <c r="BB30" s="13">
        <v>70799300</v>
      </c>
      <c r="BC30" s="13">
        <f>358000+36718851</f>
        <v>37076851</v>
      </c>
      <c r="BD30" s="13">
        <f t="shared" si="14"/>
        <v>33722449</v>
      </c>
      <c r="BE30" s="2">
        <f t="shared" si="3"/>
        <v>77790940</v>
      </c>
      <c r="BF30" s="2">
        <f t="shared" si="1"/>
        <v>38452079.640000001</v>
      </c>
      <c r="BG30" s="2">
        <f t="shared" si="15"/>
        <v>39338860.359999999</v>
      </c>
      <c r="BH30" s="13">
        <v>2235000</v>
      </c>
      <c r="BI30" s="13"/>
      <c r="BJ30" s="13">
        <f t="shared" si="21"/>
        <v>2235000</v>
      </c>
    </row>
    <row r="31" spans="1:62" x14ac:dyDescent="0.55000000000000004">
      <c r="A31" s="11">
        <v>23</v>
      </c>
      <c r="B31" s="12" t="s">
        <v>27</v>
      </c>
      <c r="C31" s="19">
        <v>536700</v>
      </c>
      <c r="D31" s="19">
        <v>268350</v>
      </c>
      <c r="E31" s="21">
        <f t="shared" si="4"/>
        <v>268350</v>
      </c>
      <c r="F31" s="13">
        <f>200000+605000</f>
        <v>805000</v>
      </c>
      <c r="G31" s="13">
        <v>126572</v>
      </c>
      <c r="H31" s="13">
        <f t="shared" si="5"/>
        <v>678428</v>
      </c>
      <c r="I31" s="13">
        <f>66000+18000</f>
        <v>84000</v>
      </c>
      <c r="J31" s="13">
        <f>22000+20000</f>
        <v>42000</v>
      </c>
      <c r="K31" s="13">
        <f t="shared" si="6"/>
        <v>42000</v>
      </c>
      <c r="L31" s="13">
        <f>249000+96036+109000</f>
        <v>454036</v>
      </c>
      <c r="M31" s="13">
        <v>354840.88</v>
      </c>
      <c r="N31" s="13">
        <f t="shared" si="7"/>
        <v>99195.12</v>
      </c>
      <c r="O31" s="2">
        <f t="shared" si="16"/>
        <v>1343036</v>
      </c>
      <c r="P31" s="2">
        <f t="shared" si="0"/>
        <v>523412.88</v>
      </c>
      <c r="Q31" s="2">
        <f t="shared" si="8"/>
        <v>819623.12</v>
      </c>
      <c r="R31" s="13">
        <v>20000</v>
      </c>
      <c r="S31" s="13">
        <v>0</v>
      </c>
      <c r="T31" s="13">
        <f t="shared" si="17"/>
        <v>20000</v>
      </c>
      <c r="U31" s="13">
        <v>210000</v>
      </c>
      <c r="V31" s="13">
        <v>164000</v>
      </c>
      <c r="W31" s="13">
        <f t="shared" si="18"/>
        <v>46000</v>
      </c>
      <c r="X31" s="13">
        <v>0</v>
      </c>
      <c r="Y31" s="13">
        <v>0</v>
      </c>
      <c r="Z31" s="13">
        <f t="shared" si="9"/>
        <v>0</v>
      </c>
      <c r="AA31" s="13">
        <v>90000</v>
      </c>
      <c r="AB31" s="13">
        <v>52135</v>
      </c>
      <c r="AC31" s="13">
        <f t="shared" si="19"/>
        <v>37865</v>
      </c>
      <c r="AD31" s="13">
        <v>359500</v>
      </c>
      <c r="AE31" s="13">
        <v>1190</v>
      </c>
      <c r="AF31" s="13">
        <f t="shared" si="10"/>
        <v>358310</v>
      </c>
      <c r="AG31" s="13">
        <v>1012900</v>
      </c>
      <c r="AH31" s="13">
        <v>212684.01</v>
      </c>
      <c r="AI31" s="13">
        <f t="shared" si="22"/>
        <v>800215.99</v>
      </c>
      <c r="AJ31" s="13">
        <v>136800</v>
      </c>
      <c r="AK31" s="13">
        <v>41581.370000000003</v>
      </c>
      <c r="AL31" s="13">
        <f t="shared" si="11"/>
        <v>95218.63</v>
      </c>
      <c r="AM31" s="13">
        <v>1500000</v>
      </c>
      <c r="AN31" s="13">
        <v>0</v>
      </c>
      <c r="AO31" s="13">
        <f t="shared" si="23"/>
        <v>1500000</v>
      </c>
      <c r="AP31" s="13">
        <v>432000</v>
      </c>
      <c r="AQ31" s="13">
        <v>0</v>
      </c>
      <c r="AR31" s="13">
        <f t="shared" si="24"/>
        <v>432000</v>
      </c>
      <c r="AS31" s="13">
        <v>37000</v>
      </c>
      <c r="AT31" s="13">
        <v>37000</v>
      </c>
      <c r="AU31" s="13">
        <f t="shared" si="12"/>
        <v>0</v>
      </c>
      <c r="AV31" s="13">
        <v>0</v>
      </c>
      <c r="AW31" s="13">
        <v>0</v>
      </c>
      <c r="AX31" s="13">
        <f t="shared" si="20"/>
        <v>0</v>
      </c>
      <c r="AY31" s="2">
        <f t="shared" si="13"/>
        <v>3778200</v>
      </c>
      <c r="AZ31" s="2">
        <f t="shared" si="13"/>
        <v>508590.38</v>
      </c>
      <c r="BA31" s="2">
        <f t="shared" si="2"/>
        <v>2837609.62</v>
      </c>
      <c r="BB31" s="13">
        <v>0</v>
      </c>
      <c r="BC31" s="13">
        <v>0</v>
      </c>
      <c r="BD31" s="13">
        <f t="shared" si="14"/>
        <v>0</v>
      </c>
      <c r="BE31" s="2">
        <f t="shared" si="3"/>
        <v>5677936</v>
      </c>
      <c r="BF31" s="2">
        <f t="shared" si="1"/>
        <v>1300353.26</v>
      </c>
      <c r="BG31" s="2">
        <f t="shared" si="15"/>
        <v>4377582.74</v>
      </c>
      <c r="BH31" s="13">
        <v>811000</v>
      </c>
      <c r="BI31" s="13"/>
      <c r="BJ31" s="13">
        <f t="shared" si="21"/>
        <v>811000</v>
      </c>
    </row>
    <row r="32" spans="1:62" x14ac:dyDescent="0.55000000000000004">
      <c r="A32" s="11">
        <v>24</v>
      </c>
      <c r="B32" s="12" t="s">
        <v>28</v>
      </c>
      <c r="C32" s="19">
        <v>503880</v>
      </c>
      <c r="D32" s="19">
        <v>251940</v>
      </c>
      <c r="E32" s="21">
        <f t="shared" si="4"/>
        <v>251940</v>
      </c>
      <c r="F32" s="13">
        <f t="shared" si="25"/>
        <v>200000</v>
      </c>
      <c r="G32" s="13">
        <v>69588</v>
      </c>
      <c r="H32" s="13">
        <f t="shared" si="5"/>
        <v>130412</v>
      </c>
      <c r="I32" s="13">
        <f>315000+18000</f>
        <v>333000</v>
      </c>
      <c r="J32" s="13">
        <v>166403</v>
      </c>
      <c r="K32" s="13">
        <f t="shared" si="6"/>
        <v>166597</v>
      </c>
      <c r="L32" s="13">
        <f>153000+10000+68000+504600+48792</f>
        <v>784392</v>
      </c>
      <c r="M32" s="13">
        <v>158471.23000000001</v>
      </c>
      <c r="N32" s="13">
        <f t="shared" si="7"/>
        <v>625920.77</v>
      </c>
      <c r="O32" s="2">
        <f t="shared" si="16"/>
        <v>1317392</v>
      </c>
      <c r="P32" s="2">
        <f t="shared" si="0"/>
        <v>394462.23</v>
      </c>
      <c r="Q32" s="2">
        <f t="shared" si="8"/>
        <v>922929.77</v>
      </c>
      <c r="R32" s="13">
        <v>20000</v>
      </c>
      <c r="S32" s="13">
        <v>0</v>
      </c>
      <c r="T32" s="13">
        <f t="shared" si="17"/>
        <v>20000</v>
      </c>
      <c r="U32" s="13">
        <f>350000+250000</f>
        <v>600000</v>
      </c>
      <c r="V32" s="13">
        <v>350000</v>
      </c>
      <c r="W32" s="13">
        <f t="shared" si="18"/>
        <v>250000</v>
      </c>
      <c r="X32" s="13">
        <v>0</v>
      </c>
      <c r="Y32" s="13">
        <v>0</v>
      </c>
      <c r="Z32" s="13">
        <f t="shared" si="9"/>
        <v>0</v>
      </c>
      <c r="AA32" s="13">
        <v>90000</v>
      </c>
      <c r="AB32" s="13"/>
      <c r="AC32" s="13">
        <f t="shared" si="19"/>
        <v>90000</v>
      </c>
      <c r="AD32" s="13">
        <v>365525</v>
      </c>
      <c r="AE32" s="13">
        <v>12500</v>
      </c>
      <c r="AF32" s="13">
        <f t="shared" si="10"/>
        <v>353025</v>
      </c>
      <c r="AG32" s="13">
        <v>1012900</v>
      </c>
      <c r="AH32" s="13">
        <v>206298.78</v>
      </c>
      <c r="AI32" s="13">
        <f t="shared" si="22"/>
        <v>806601.22</v>
      </c>
      <c r="AJ32" s="13">
        <v>178800</v>
      </c>
      <c r="AK32" s="13">
        <v>0</v>
      </c>
      <c r="AL32" s="13">
        <f t="shared" si="11"/>
        <v>178800</v>
      </c>
      <c r="AM32" s="13">
        <v>1500000</v>
      </c>
      <c r="AN32" s="13">
        <v>0</v>
      </c>
      <c r="AO32" s="13">
        <f t="shared" si="23"/>
        <v>1500000</v>
      </c>
      <c r="AP32" s="13">
        <v>432000</v>
      </c>
      <c r="AQ32" s="13">
        <v>0</v>
      </c>
      <c r="AR32" s="13">
        <f t="shared" si="24"/>
        <v>432000</v>
      </c>
      <c r="AS32" s="13">
        <v>37000</v>
      </c>
      <c r="AT32" s="13">
        <v>37000</v>
      </c>
      <c r="AU32" s="13">
        <f t="shared" si="12"/>
        <v>0</v>
      </c>
      <c r="AV32" s="13">
        <v>0</v>
      </c>
      <c r="AW32" s="13">
        <v>0</v>
      </c>
      <c r="AX32" s="13">
        <f t="shared" si="20"/>
        <v>0</v>
      </c>
      <c r="AY32" s="2">
        <f t="shared" si="13"/>
        <v>4216225</v>
      </c>
      <c r="AZ32" s="2">
        <f t="shared" si="13"/>
        <v>605798.78</v>
      </c>
      <c r="BA32" s="2">
        <f t="shared" si="2"/>
        <v>3178426.2199999997</v>
      </c>
      <c r="BB32" s="13">
        <v>0</v>
      </c>
      <c r="BC32" s="13">
        <v>0</v>
      </c>
      <c r="BD32" s="13">
        <f t="shared" si="14"/>
        <v>0</v>
      </c>
      <c r="BE32" s="2">
        <f t="shared" si="3"/>
        <v>6057497</v>
      </c>
      <c r="BF32" s="2">
        <f t="shared" si="1"/>
        <v>1252201.01</v>
      </c>
      <c r="BG32" s="2">
        <f t="shared" si="15"/>
        <v>4805295.99</v>
      </c>
      <c r="BH32" s="13">
        <v>1434000</v>
      </c>
      <c r="BI32" s="13"/>
      <c r="BJ32" s="13">
        <f t="shared" si="21"/>
        <v>1434000</v>
      </c>
    </row>
    <row r="33" spans="1:62" x14ac:dyDescent="0.55000000000000004">
      <c r="A33" s="11">
        <v>25</v>
      </c>
      <c r="B33" s="12" t="s">
        <v>29</v>
      </c>
      <c r="C33" s="19">
        <v>539460</v>
      </c>
      <c r="D33" s="19">
        <v>269730</v>
      </c>
      <c r="E33" s="21">
        <f t="shared" si="4"/>
        <v>269730</v>
      </c>
      <c r="F33" s="13">
        <f>200000+1306800</f>
        <v>1506800</v>
      </c>
      <c r="G33" s="13">
        <v>323897.75</v>
      </c>
      <c r="H33" s="13">
        <f t="shared" si="5"/>
        <v>1182902.25</v>
      </c>
      <c r="I33" s="13">
        <f>169800+18000</f>
        <v>187800</v>
      </c>
      <c r="J33" s="13">
        <v>90900</v>
      </c>
      <c r="K33" s="13">
        <f t="shared" si="6"/>
        <v>96900</v>
      </c>
      <c r="L33" s="13">
        <f>198000+66000+30000</f>
        <v>294000</v>
      </c>
      <c r="M33" s="13">
        <v>104133.68</v>
      </c>
      <c r="N33" s="13">
        <f t="shared" si="7"/>
        <v>189866.32</v>
      </c>
      <c r="O33" s="2">
        <f t="shared" si="16"/>
        <v>1988600</v>
      </c>
      <c r="P33" s="2">
        <f t="shared" si="0"/>
        <v>518931.43</v>
      </c>
      <c r="Q33" s="2">
        <f t="shared" si="8"/>
        <v>1469668.57</v>
      </c>
      <c r="R33" s="13">
        <v>20000</v>
      </c>
      <c r="S33" s="13">
        <v>0</v>
      </c>
      <c r="T33" s="13">
        <f t="shared" si="17"/>
        <v>20000</v>
      </c>
      <c r="U33" s="13">
        <v>170000</v>
      </c>
      <c r="V33" s="13">
        <v>140000</v>
      </c>
      <c r="W33" s="13">
        <f t="shared" si="18"/>
        <v>30000</v>
      </c>
      <c r="X33" s="13">
        <v>0</v>
      </c>
      <c r="Y33" s="13">
        <v>0</v>
      </c>
      <c r="Z33" s="13">
        <f t="shared" si="9"/>
        <v>0</v>
      </c>
      <c r="AA33" s="13">
        <v>90000</v>
      </c>
      <c r="AB33" s="13">
        <v>46527</v>
      </c>
      <c r="AC33" s="13">
        <f t="shared" si="19"/>
        <v>43473</v>
      </c>
      <c r="AD33" s="13">
        <v>142100</v>
      </c>
      <c r="AE33" s="13">
        <v>0</v>
      </c>
      <c r="AF33" s="13">
        <f t="shared" si="10"/>
        <v>142100</v>
      </c>
      <c r="AG33" s="13">
        <v>1012900</v>
      </c>
      <c r="AH33" s="13">
        <v>245383.92</v>
      </c>
      <c r="AI33" s="13">
        <f t="shared" si="22"/>
        <v>767516.08</v>
      </c>
      <c r="AJ33" s="13">
        <v>124800</v>
      </c>
      <c r="AK33" s="13">
        <v>12688</v>
      </c>
      <c r="AL33" s="13">
        <f t="shared" si="11"/>
        <v>112112</v>
      </c>
      <c r="AM33" s="13">
        <v>1500000</v>
      </c>
      <c r="AN33" s="13">
        <v>0</v>
      </c>
      <c r="AO33" s="13">
        <f t="shared" si="23"/>
        <v>1500000</v>
      </c>
      <c r="AP33" s="13">
        <v>368000</v>
      </c>
      <c r="AQ33" s="13">
        <v>0</v>
      </c>
      <c r="AR33" s="13">
        <f t="shared" si="24"/>
        <v>368000</v>
      </c>
      <c r="AS33" s="13">
        <v>37000</v>
      </c>
      <c r="AT33" s="13">
        <v>37000</v>
      </c>
      <c r="AU33" s="13">
        <f t="shared" si="12"/>
        <v>0</v>
      </c>
      <c r="AV33" s="13">
        <v>0</v>
      </c>
      <c r="AW33" s="13">
        <v>0</v>
      </c>
      <c r="AX33" s="13">
        <f t="shared" si="20"/>
        <v>0</v>
      </c>
      <c r="AY33" s="2">
        <f t="shared" si="13"/>
        <v>3444800</v>
      </c>
      <c r="AZ33" s="2">
        <f t="shared" si="13"/>
        <v>481598.92000000004</v>
      </c>
      <c r="BA33" s="2">
        <f t="shared" si="2"/>
        <v>2595201.08</v>
      </c>
      <c r="BB33" s="13">
        <v>0</v>
      </c>
      <c r="BC33" s="13">
        <v>0</v>
      </c>
      <c r="BD33" s="13">
        <f t="shared" si="14"/>
        <v>0</v>
      </c>
      <c r="BE33" s="2">
        <f t="shared" si="3"/>
        <v>5992860</v>
      </c>
      <c r="BF33" s="2">
        <f t="shared" si="1"/>
        <v>1270260.3500000001</v>
      </c>
      <c r="BG33" s="2">
        <f t="shared" si="15"/>
        <v>4722599.6500000004</v>
      </c>
      <c r="BH33" s="13">
        <v>633000</v>
      </c>
      <c r="BI33" s="13"/>
      <c r="BJ33" s="13">
        <f t="shared" si="21"/>
        <v>633000</v>
      </c>
    </row>
    <row r="34" spans="1:62" x14ac:dyDescent="0.55000000000000004">
      <c r="A34" s="11">
        <v>26</v>
      </c>
      <c r="B34" s="12" t="s">
        <v>30</v>
      </c>
      <c r="C34" s="19">
        <v>386520</v>
      </c>
      <c r="D34" s="19">
        <v>193260</v>
      </c>
      <c r="E34" s="21">
        <f t="shared" si="4"/>
        <v>193260</v>
      </c>
      <c r="F34" s="13">
        <f>200000+1666632</f>
        <v>1866632</v>
      </c>
      <c r="G34" s="13">
        <v>325205</v>
      </c>
      <c r="H34" s="13">
        <f t="shared" si="5"/>
        <v>1541427</v>
      </c>
      <c r="I34" s="13">
        <f>254400+13500</f>
        <v>267900</v>
      </c>
      <c r="J34" s="13">
        <f>101850+6750</f>
        <v>108600</v>
      </c>
      <c r="K34" s="13">
        <f t="shared" si="6"/>
        <v>159300</v>
      </c>
      <c r="L34" s="13">
        <f>210000+70000+14000</f>
        <v>294000</v>
      </c>
      <c r="M34" s="13">
        <v>160101.92000000001</v>
      </c>
      <c r="N34" s="13">
        <f t="shared" si="7"/>
        <v>133898.07999999999</v>
      </c>
      <c r="O34" s="2">
        <f t="shared" si="16"/>
        <v>2428532</v>
      </c>
      <c r="P34" s="2">
        <f t="shared" si="0"/>
        <v>593906.92000000004</v>
      </c>
      <c r="Q34" s="2">
        <f t="shared" si="8"/>
        <v>1834625.08</v>
      </c>
      <c r="R34" s="13">
        <v>20000</v>
      </c>
      <c r="S34" s="13">
        <v>0</v>
      </c>
      <c r="T34" s="13">
        <f t="shared" si="17"/>
        <v>20000</v>
      </c>
      <c r="U34" s="13">
        <f>150000+150000</f>
        <v>300000</v>
      </c>
      <c r="V34" s="13">
        <v>120000</v>
      </c>
      <c r="W34" s="13">
        <f t="shared" si="18"/>
        <v>180000</v>
      </c>
      <c r="X34" s="13">
        <v>0</v>
      </c>
      <c r="Y34" s="13">
        <v>0</v>
      </c>
      <c r="Z34" s="13">
        <f t="shared" si="9"/>
        <v>0</v>
      </c>
      <c r="AA34" s="13">
        <v>90000</v>
      </c>
      <c r="AB34" s="13">
        <v>51750</v>
      </c>
      <c r="AC34" s="13">
        <f t="shared" si="19"/>
        <v>38250</v>
      </c>
      <c r="AD34" s="13">
        <v>316900</v>
      </c>
      <c r="AE34" s="13">
        <v>90600</v>
      </c>
      <c r="AF34" s="13">
        <f t="shared" si="10"/>
        <v>226300</v>
      </c>
      <c r="AG34" s="13">
        <v>1012900</v>
      </c>
      <c r="AH34" s="13">
        <v>223281.76</v>
      </c>
      <c r="AI34" s="13">
        <f t="shared" si="22"/>
        <v>789618.24</v>
      </c>
      <c r="AJ34" s="13">
        <v>118800</v>
      </c>
      <c r="AK34" s="13">
        <v>0</v>
      </c>
      <c r="AL34" s="13">
        <f t="shared" si="11"/>
        <v>118800</v>
      </c>
      <c r="AM34" s="13">
        <v>1500000</v>
      </c>
      <c r="AN34" s="13">
        <v>0</v>
      </c>
      <c r="AO34" s="13">
        <f t="shared" si="23"/>
        <v>1500000</v>
      </c>
      <c r="AP34" s="13">
        <v>432000</v>
      </c>
      <c r="AQ34" s="13">
        <v>0</v>
      </c>
      <c r="AR34" s="13">
        <f t="shared" si="24"/>
        <v>432000</v>
      </c>
      <c r="AS34" s="13">
        <v>37000</v>
      </c>
      <c r="AT34" s="13">
        <v>31000</v>
      </c>
      <c r="AU34" s="13">
        <f t="shared" si="12"/>
        <v>6000</v>
      </c>
      <c r="AV34" s="13">
        <v>0</v>
      </c>
      <c r="AW34" s="13">
        <v>0</v>
      </c>
      <c r="AX34" s="13">
        <f t="shared" si="20"/>
        <v>0</v>
      </c>
      <c r="AY34" s="2">
        <f t="shared" si="13"/>
        <v>3807600</v>
      </c>
      <c r="AZ34" s="2">
        <f t="shared" si="13"/>
        <v>516631.76</v>
      </c>
      <c r="BA34" s="2">
        <f t="shared" si="2"/>
        <v>2852968.24</v>
      </c>
      <c r="BB34" s="13">
        <v>3949300</v>
      </c>
      <c r="BC34" s="13">
        <v>0</v>
      </c>
      <c r="BD34" s="13">
        <f t="shared" si="14"/>
        <v>3949300</v>
      </c>
      <c r="BE34" s="2">
        <f t="shared" si="3"/>
        <v>10591952</v>
      </c>
      <c r="BF34" s="2">
        <f t="shared" si="1"/>
        <v>1303798.6800000002</v>
      </c>
      <c r="BG34" s="2">
        <f t="shared" si="15"/>
        <v>9288153.3200000003</v>
      </c>
      <c r="BH34" s="13">
        <v>544000</v>
      </c>
      <c r="BI34" s="13"/>
      <c r="BJ34" s="13">
        <f t="shared" si="21"/>
        <v>544000</v>
      </c>
    </row>
    <row r="35" spans="1:62" x14ac:dyDescent="0.55000000000000004">
      <c r="A35" s="11">
        <v>27</v>
      </c>
      <c r="B35" s="12" t="s">
        <v>31</v>
      </c>
      <c r="C35" s="19">
        <v>537840</v>
      </c>
      <c r="D35" s="19">
        <v>268920</v>
      </c>
      <c r="E35" s="21">
        <f t="shared" si="4"/>
        <v>268920</v>
      </c>
      <c r="F35" s="13">
        <f>200000+1251900</f>
        <v>1451900</v>
      </c>
      <c r="G35" s="13">
        <v>21844</v>
      </c>
      <c r="H35" s="13">
        <f t="shared" si="5"/>
        <v>1430056</v>
      </c>
      <c r="I35" s="13">
        <f>90000+18000</f>
        <v>108000</v>
      </c>
      <c r="J35" s="13">
        <f>10500+9000</f>
        <v>19500</v>
      </c>
      <c r="K35" s="13">
        <f t="shared" si="6"/>
        <v>88500</v>
      </c>
      <c r="L35" s="13">
        <f>291000+51360+400000+100000+21844+54000</f>
        <v>918204</v>
      </c>
      <c r="M35" s="13">
        <v>537101.38</v>
      </c>
      <c r="N35" s="13">
        <f t="shared" si="7"/>
        <v>381102.62</v>
      </c>
      <c r="O35" s="2">
        <f t="shared" si="16"/>
        <v>2478104</v>
      </c>
      <c r="P35" s="2">
        <f t="shared" si="0"/>
        <v>578445.38</v>
      </c>
      <c r="Q35" s="2">
        <f t="shared" si="8"/>
        <v>1899658.62</v>
      </c>
      <c r="R35" s="13">
        <v>20000</v>
      </c>
      <c r="S35" s="13">
        <v>0</v>
      </c>
      <c r="T35" s="13">
        <f t="shared" si="17"/>
        <v>20000</v>
      </c>
      <c r="U35" s="13">
        <v>550000</v>
      </c>
      <c r="V35" s="13">
        <v>550000</v>
      </c>
      <c r="W35" s="13">
        <f t="shared" si="18"/>
        <v>0</v>
      </c>
      <c r="X35" s="13">
        <v>0</v>
      </c>
      <c r="Y35" s="13">
        <v>0</v>
      </c>
      <c r="Z35" s="13">
        <f t="shared" si="9"/>
        <v>0</v>
      </c>
      <c r="AA35" s="13">
        <v>90000</v>
      </c>
      <c r="AB35" s="13">
        <v>50000</v>
      </c>
      <c r="AC35" s="13">
        <f t="shared" si="19"/>
        <v>40000</v>
      </c>
      <c r="AD35" s="13">
        <v>762700</v>
      </c>
      <c r="AE35" s="13">
        <v>196600</v>
      </c>
      <c r="AF35" s="13">
        <f t="shared" si="10"/>
        <v>566100</v>
      </c>
      <c r="AG35" s="13">
        <v>1012900</v>
      </c>
      <c r="AH35" s="13">
        <v>102377.94</v>
      </c>
      <c r="AI35" s="13">
        <f t="shared" si="22"/>
        <v>910522.06</v>
      </c>
      <c r="AJ35" s="13">
        <v>241860</v>
      </c>
      <c r="AK35" s="13">
        <v>39280</v>
      </c>
      <c r="AL35" s="13">
        <f t="shared" si="11"/>
        <v>202580</v>
      </c>
      <c r="AM35" s="13">
        <v>1500000</v>
      </c>
      <c r="AN35" s="13">
        <v>0</v>
      </c>
      <c r="AO35" s="13">
        <f t="shared" si="23"/>
        <v>1500000</v>
      </c>
      <c r="AP35" s="13">
        <v>432000</v>
      </c>
      <c r="AQ35" s="13">
        <v>0</v>
      </c>
      <c r="AR35" s="13">
        <f t="shared" si="24"/>
        <v>432000</v>
      </c>
      <c r="AS35" s="13">
        <v>37000</v>
      </c>
      <c r="AT35" s="13">
        <v>37000</v>
      </c>
      <c r="AU35" s="13">
        <f t="shared" si="12"/>
        <v>0</v>
      </c>
      <c r="AV35" s="13">
        <v>0</v>
      </c>
      <c r="AW35" s="13">
        <v>0</v>
      </c>
      <c r="AX35" s="13">
        <f t="shared" si="20"/>
        <v>0</v>
      </c>
      <c r="AY35" s="2">
        <f t="shared" si="13"/>
        <v>4626460</v>
      </c>
      <c r="AZ35" s="2">
        <f t="shared" si="13"/>
        <v>975257.94</v>
      </c>
      <c r="BA35" s="2">
        <f t="shared" si="2"/>
        <v>3219202.06</v>
      </c>
      <c r="BB35" s="13">
        <v>2098400</v>
      </c>
      <c r="BC35" s="13">
        <v>0</v>
      </c>
      <c r="BD35" s="13">
        <f t="shared" si="14"/>
        <v>2098400</v>
      </c>
      <c r="BE35" s="2">
        <f t="shared" si="3"/>
        <v>9760804</v>
      </c>
      <c r="BF35" s="2">
        <f t="shared" si="1"/>
        <v>1822623.3199999998</v>
      </c>
      <c r="BG35" s="2">
        <f t="shared" si="15"/>
        <v>7938180.6799999997</v>
      </c>
      <c r="BH35" s="13">
        <v>2324000</v>
      </c>
      <c r="BI35" s="13"/>
      <c r="BJ35" s="13">
        <f t="shared" si="21"/>
        <v>2324000</v>
      </c>
    </row>
    <row r="36" spans="1:62" x14ac:dyDescent="0.55000000000000004">
      <c r="A36" s="11">
        <v>28</v>
      </c>
      <c r="B36" s="12" t="s">
        <v>32</v>
      </c>
      <c r="C36" s="19">
        <v>885000</v>
      </c>
      <c r="D36" s="19">
        <v>442500</v>
      </c>
      <c r="E36" s="21">
        <f t="shared" si="4"/>
        <v>442500</v>
      </c>
      <c r="F36" s="13">
        <f>200000+1124640</f>
        <v>1324640</v>
      </c>
      <c r="G36" s="13">
        <v>283533.36</v>
      </c>
      <c r="H36" s="13">
        <f t="shared" si="5"/>
        <v>1041106.64</v>
      </c>
      <c r="I36" s="13">
        <f>48000+21000+31500</f>
        <v>100500</v>
      </c>
      <c r="J36" s="13">
        <f>11000+15750</f>
        <v>26750</v>
      </c>
      <c r="K36" s="13">
        <f t="shared" si="6"/>
        <v>73750</v>
      </c>
      <c r="L36" s="13">
        <f>282000+80250+263000+100000+12218+125000+2200</f>
        <v>864668</v>
      </c>
      <c r="M36" s="13">
        <v>461579.15</v>
      </c>
      <c r="N36" s="13">
        <f t="shared" si="7"/>
        <v>403088.85</v>
      </c>
      <c r="O36" s="2">
        <f t="shared" si="16"/>
        <v>2289808</v>
      </c>
      <c r="P36" s="2">
        <f t="shared" si="0"/>
        <v>771862.51</v>
      </c>
      <c r="Q36" s="2">
        <f t="shared" si="8"/>
        <v>1517945.49</v>
      </c>
      <c r="R36" s="13">
        <v>20000</v>
      </c>
      <c r="S36" s="13">
        <v>0</v>
      </c>
      <c r="T36" s="13">
        <f t="shared" si="17"/>
        <v>20000</v>
      </c>
      <c r="U36" s="13">
        <v>430000</v>
      </c>
      <c r="V36" s="13">
        <v>300000</v>
      </c>
      <c r="W36" s="13">
        <f t="shared" si="18"/>
        <v>130000</v>
      </c>
      <c r="X36" s="13">
        <v>0</v>
      </c>
      <c r="Y36" s="13">
        <v>0</v>
      </c>
      <c r="Z36" s="13">
        <f t="shared" si="9"/>
        <v>0</v>
      </c>
      <c r="AA36" s="13">
        <v>90000</v>
      </c>
      <c r="AB36" s="13">
        <v>16428</v>
      </c>
      <c r="AC36" s="13">
        <f t="shared" si="19"/>
        <v>73572</v>
      </c>
      <c r="AD36" s="13">
        <v>275200</v>
      </c>
      <c r="AE36" s="13">
        <v>0</v>
      </c>
      <c r="AF36" s="13">
        <f t="shared" si="10"/>
        <v>275200</v>
      </c>
      <c r="AG36" s="13">
        <v>1012900</v>
      </c>
      <c r="AH36" s="13">
        <v>180000</v>
      </c>
      <c r="AI36" s="13">
        <f t="shared" si="22"/>
        <v>832900</v>
      </c>
      <c r="AJ36" s="13">
        <v>202800</v>
      </c>
      <c r="AK36" s="13">
        <v>0</v>
      </c>
      <c r="AL36" s="13">
        <f t="shared" si="11"/>
        <v>202800</v>
      </c>
      <c r="AM36" s="13">
        <v>1500000</v>
      </c>
      <c r="AN36" s="13">
        <v>0</v>
      </c>
      <c r="AO36" s="13">
        <f t="shared" si="23"/>
        <v>1500000</v>
      </c>
      <c r="AP36" s="13">
        <v>432000</v>
      </c>
      <c r="AQ36" s="13">
        <v>0</v>
      </c>
      <c r="AR36" s="13">
        <f t="shared" si="24"/>
        <v>432000</v>
      </c>
      <c r="AS36" s="13">
        <v>37000</v>
      </c>
      <c r="AT36" s="13">
        <v>37000</v>
      </c>
      <c r="AU36" s="13">
        <f t="shared" si="12"/>
        <v>0</v>
      </c>
      <c r="AV36" s="13">
        <v>0</v>
      </c>
      <c r="AW36" s="13">
        <v>0</v>
      </c>
      <c r="AX36" s="13">
        <f t="shared" si="20"/>
        <v>0</v>
      </c>
      <c r="AY36" s="2">
        <f t="shared" si="13"/>
        <v>3979900</v>
      </c>
      <c r="AZ36" s="2">
        <f t="shared" si="13"/>
        <v>533428</v>
      </c>
      <c r="BA36" s="2">
        <f t="shared" si="2"/>
        <v>3014472</v>
      </c>
      <c r="BB36" s="13">
        <v>1759400</v>
      </c>
      <c r="BC36" s="13">
        <f>574080</f>
        <v>574080</v>
      </c>
      <c r="BD36" s="13">
        <f t="shared" si="14"/>
        <v>1185320</v>
      </c>
      <c r="BE36" s="2">
        <f t="shared" si="3"/>
        <v>8934108</v>
      </c>
      <c r="BF36" s="2">
        <f t="shared" si="1"/>
        <v>2321870.5099999998</v>
      </c>
      <c r="BG36" s="2">
        <f t="shared" si="15"/>
        <v>6612237.4900000002</v>
      </c>
      <c r="BH36" s="13">
        <v>1790000</v>
      </c>
      <c r="BI36" s="13"/>
      <c r="BJ36" s="13">
        <f t="shared" si="21"/>
        <v>1790000</v>
      </c>
    </row>
    <row r="37" spans="1:62" x14ac:dyDescent="0.55000000000000004">
      <c r="A37" s="11">
        <v>29</v>
      </c>
      <c r="B37" s="12" t="s">
        <v>33</v>
      </c>
      <c r="C37" s="19">
        <v>501780</v>
      </c>
      <c r="D37" s="19">
        <v>250890</v>
      </c>
      <c r="E37" s="21">
        <f t="shared" si="4"/>
        <v>250890</v>
      </c>
      <c r="F37" s="13">
        <f>200000+1042800</f>
        <v>1242800</v>
      </c>
      <c r="G37" s="13">
        <v>295860</v>
      </c>
      <c r="H37" s="13">
        <f t="shared" si="5"/>
        <v>946940</v>
      </c>
      <c r="I37" s="13">
        <f>72000+18000</f>
        <v>90000</v>
      </c>
      <c r="J37" s="13">
        <f>12000+33000</f>
        <v>45000</v>
      </c>
      <c r="K37" s="13">
        <f t="shared" si="6"/>
        <v>45000</v>
      </c>
      <c r="L37" s="13">
        <f>150000+92400+48000</f>
        <v>290400</v>
      </c>
      <c r="M37" s="13">
        <v>190662.79</v>
      </c>
      <c r="N37" s="13">
        <f t="shared" si="7"/>
        <v>99737.209999999992</v>
      </c>
      <c r="O37" s="2">
        <f t="shared" si="16"/>
        <v>1623200</v>
      </c>
      <c r="P37" s="2">
        <f t="shared" si="0"/>
        <v>531522.79</v>
      </c>
      <c r="Q37" s="2">
        <f t="shared" si="8"/>
        <v>1091677.21</v>
      </c>
      <c r="R37" s="13">
        <v>20000</v>
      </c>
      <c r="S37" s="13">
        <v>0</v>
      </c>
      <c r="T37" s="13">
        <f t="shared" si="17"/>
        <v>20000</v>
      </c>
      <c r="U37" s="13">
        <v>310000</v>
      </c>
      <c r="V37" s="13">
        <v>310000</v>
      </c>
      <c r="W37" s="13">
        <f t="shared" si="18"/>
        <v>0</v>
      </c>
      <c r="X37" s="13">
        <v>0</v>
      </c>
      <c r="Y37" s="13">
        <v>0</v>
      </c>
      <c r="Z37" s="13">
        <f t="shared" si="9"/>
        <v>0</v>
      </c>
      <c r="AA37" s="13">
        <v>90000</v>
      </c>
      <c r="AB37" s="13">
        <v>50000</v>
      </c>
      <c r="AC37" s="13">
        <f t="shared" si="19"/>
        <v>40000</v>
      </c>
      <c r="AD37" s="13">
        <v>410800</v>
      </c>
      <c r="AE37" s="13">
        <v>68500</v>
      </c>
      <c r="AF37" s="13">
        <f t="shared" si="10"/>
        <v>342300</v>
      </c>
      <c r="AG37" s="13">
        <v>1012900</v>
      </c>
      <c r="AH37" s="13">
        <v>142715.48000000001</v>
      </c>
      <c r="AI37" s="13">
        <f t="shared" si="22"/>
        <v>870184.52</v>
      </c>
      <c r="AJ37" s="13">
        <v>166800</v>
      </c>
      <c r="AK37" s="13">
        <v>9575.98</v>
      </c>
      <c r="AL37" s="13">
        <f t="shared" si="11"/>
        <v>157224.01999999999</v>
      </c>
      <c r="AM37" s="13">
        <v>1500000</v>
      </c>
      <c r="AN37" s="13">
        <v>0</v>
      </c>
      <c r="AO37" s="13">
        <f t="shared" si="23"/>
        <v>1500000</v>
      </c>
      <c r="AP37" s="13">
        <v>368000</v>
      </c>
      <c r="AQ37" s="13">
        <v>0</v>
      </c>
      <c r="AR37" s="13">
        <f t="shared" si="24"/>
        <v>368000</v>
      </c>
      <c r="AS37" s="13">
        <v>37000</v>
      </c>
      <c r="AT37" s="13">
        <v>34225</v>
      </c>
      <c r="AU37" s="13">
        <f t="shared" si="12"/>
        <v>2775</v>
      </c>
      <c r="AV37" s="13">
        <v>0</v>
      </c>
      <c r="AW37" s="13">
        <v>0</v>
      </c>
      <c r="AX37" s="13">
        <f t="shared" si="20"/>
        <v>0</v>
      </c>
      <c r="AY37" s="2">
        <f t="shared" si="13"/>
        <v>3895500</v>
      </c>
      <c r="AZ37" s="2">
        <f t="shared" si="13"/>
        <v>615016.46</v>
      </c>
      <c r="BA37" s="2">
        <f t="shared" si="2"/>
        <v>2909708.54</v>
      </c>
      <c r="BB37" s="13">
        <v>0</v>
      </c>
      <c r="BC37" s="13">
        <v>0</v>
      </c>
      <c r="BD37" s="13">
        <f t="shared" si="14"/>
        <v>0</v>
      </c>
      <c r="BE37" s="2">
        <f t="shared" si="3"/>
        <v>6040480</v>
      </c>
      <c r="BF37" s="2">
        <f t="shared" si="1"/>
        <v>1397429.25</v>
      </c>
      <c r="BG37" s="2">
        <f t="shared" si="15"/>
        <v>4643050.75</v>
      </c>
      <c r="BH37" s="13">
        <v>1256000</v>
      </c>
      <c r="BI37" s="13"/>
      <c r="BJ37" s="13">
        <f t="shared" si="21"/>
        <v>1256000</v>
      </c>
    </row>
    <row r="38" spans="1:62" x14ac:dyDescent="0.55000000000000004">
      <c r="A38" s="11">
        <v>30</v>
      </c>
      <c r="B38" s="12" t="s">
        <v>34</v>
      </c>
      <c r="C38" s="19">
        <v>548880</v>
      </c>
      <c r="D38" s="19">
        <v>274440</v>
      </c>
      <c r="E38" s="21">
        <f t="shared" si="4"/>
        <v>274440</v>
      </c>
      <c r="F38" s="13">
        <f>200000+1500000</f>
        <v>1700000</v>
      </c>
      <c r="G38" s="13">
        <v>250614.99</v>
      </c>
      <c r="H38" s="13">
        <f t="shared" si="5"/>
        <v>1449385.01</v>
      </c>
      <c r="I38" s="13">
        <f>186000+18000</f>
        <v>204000</v>
      </c>
      <c r="J38" s="13">
        <f>78700+9000</f>
        <v>87700</v>
      </c>
      <c r="K38" s="13">
        <f t="shared" si="6"/>
        <v>116300</v>
      </c>
      <c r="L38" s="13">
        <f>270000+104900+10676+88000</f>
        <v>473576</v>
      </c>
      <c r="M38" s="13">
        <v>34453.58</v>
      </c>
      <c r="N38" s="13">
        <f t="shared" si="7"/>
        <v>439122.42</v>
      </c>
      <c r="O38" s="2">
        <f t="shared" si="16"/>
        <v>2377576</v>
      </c>
      <c r="P38" s="2">
        <f t="shared" si="0"/>
        <v>372768.57</v>
      </c>
      <c r="Q38" s="2">
        <f t="shared" si="8"/>
        <v>2004807.43</v>
      </c>
      <c r="R38" s="13">
        <v>20000</v>
      </c>
      <c r="S38" s="13">
        <v>0</v>
      </c>
      <c r="T38" s="13">
        <f t="shared" si="17"/>
        <v>20000</v>
      </c>
      <c r="U38" s="13">
        <v>210000</v>
      </c>
      <c r="V38" s="13">
        <v>210000</v>
      </c>
      <c r="W38" s="13">
        <f t="shared" si="18"/>
        <v>0</v>
      </c>
      <c r="X38" s="13">
        <v>500000</v>
      </c>
      <c r="Y38" s="13">
        <v>26000</v>
      </c>
      <c r="Z38" s="13">
        <f t="shared" si="9"/>
        <v>474000</v>
      </c>
      <c r="AA38" s="13">
        <v>90000</v>
      </c>
      <c r="AB38" s="13">
        <v>50700</v>
      </c>
      <c r="AC38" s="13">
        <f t="shared" si="19"/>
        <v>39300</v>
      </c>
      <c r="AD38" s="13">
        <v>887500</v>
      </c>
      <c r="AE38" s="13">
        <v>0</v>
      </c>
      <c r="AF38" s="13">
        <f t="shared" si="10"/>
        <v>887500</v>
      </c>
      <c r="AG38" s="13">
        <v>1012900</v>
      </c>
      <c r="AH38" s="13">
        <v>173707.49</v>
      </c>
      <c r="AI38" s="13">
        <f t="shared" si="22"/>
        <v>839192.51</v>
      </c>
      <c r="AJ38" s="13">
        <v>136800</v>
      </c>
      <c r="AK38" s="13">
        <v>5880</v>
      </c>
      <c r="AL38" s="13">
        <f t="shared" si="11"/>
        <v>130920</v>
      </c>
      <c r="AM38" s="13">
        <v>1500000</v>
      </c>
      <c r="AN38" s="13">
        <v>0</v>
      </c>
      <c r="AO38" s="13">
        <f t="shared" si="23"/>
        <v>1500000</v>
      </c>
      <c r="AP38" s="13">
        <v>432000</v>
      </c>
      <c r="AQ38" s="13">
        <v>0</v>
      </c>
      <c r="AR38" s="13">
        <f t="shared" si="24"/>
        <v>432000</v>
      </c>
      <c r="AS38" s="13">
        <v>37000</v>
      </c>
      <c r="AT38" s="13">
        <v>37000</v>
      </c>
      <c r="AU38" s="13">
        <f t="shared" si="12"/>
        <v>0</v>
      </c>
      <c r="AV38" s="13">
        <v>0</v>
      </c>
      <c r="AW38" s="13">
        <v>0</v>
      </c>
      <c r="AX38" s="13">
        <f t="shared" si="20"/>
        <v>0</v>
      </c>
      <c r="AY38" s="2">
        <f t="shared" si="13"/>
        <v>4806200</v>
      </c>
      <c r="AZ38" s="2">
        <f t="shared" si="13"/>
        <v>503287.49</v>
      </c>
      <c r="BA38" s="2">
        <f t="shared" si="2"/>
        <v>3870912.51</v>
      </c>
      <c r="BB38" s="13">
        <v>3026300</v>
      </c>
      <c r="BC38" s="13">
        <v>0</v>
      </c>
      <c r="BD38" s="13">
        <f t="shared" si="14"/>
        <v>3026300</v>
      </c>
      <c r="BE38" s="2">
        <f t="shared" si="3"/>
        <v>10778956</v>
      </c>
      <c r="BF38" s="2">
        <f t="shared" si="1"/>
        <v>1150496.06</v>
      </c>
      <c r="BG38" s="2">
        <f t="shared" si="15"/>
        <v>9628459.9399999995</v>
      </c>
      <c r="BH38" s="13">
        <v>811000</v>
      </c>
      <c r="BI38" s="13"/>
      <c r="BJ38" s="13">
        <f t="shared" si="21"/>
        <v>811000</v>
      </c>
    </row>
    <row r="39" spans="1:62" x14ac:dyDescent="0.55000000000000004">
      <c r="A39" s="11">
        <v>31</v>
      </c>
      <c r="B39" s="12" t="s">
        <v>35</v>
      </c>
      <c r="C39" s="19">
        <v>482160</v>
      </c>
      <c r="D39" s="19">
        <v>241080</v>
      </c>
      <c r="E39" s="21">
        <f t="shared" si="4"/>
        <v>241080</v>
      </c>
      <c r="F39" s="13">
        <f t="shared" si="25"/>
        <v>200000</v>
      </c>
      <c r="G39" s="13">
        <v>196524.99</v>
      </c>
      <c r="H39" s="13">
        <f t="shared" si="5"/>
        <v>3475.0100000000093</v>
      </c>
      <c r="I39" s="13">
        <f>39000+18000</f>
        <v>57000</v>
      </c>
      <c r="J39" s="13">
        <f>15000</f>
        <v>15000</v>
      </c>
      <c r="K39" s="13">
        <f t="shared" si="6"/>
        <v>42000</v>
      </c>
      <c r="L39" s="13">
        <f>96900+14604+34000+127758+243504+86405+1191300</f>
        <v>1794471</v>
      </c>
      <c r="M39" s="13">
        <v>42107.03</v>
      </c>
      <c r="N39" s="13">
        <f t="shared" si="7"/>
        <v>1752363.97</v>
      </c>
      <c r="O39" s="2">
        <f t="shared" si="16"/>
        <v>2051471</v>
      </c>
      <c r="P39" s="2">
        <f t="shared" si="0"/>
        <v>253632.02</v>
      </c>
      <c r="Q39" s="2">
        <f t="shared" si="8"/>
        <v>1797838.98</v>
      </c>
      <c r="R39" s="13">
        <v>20000</v>
      </c>
      <c r="S39" s="13">
        <v>0</v>
      </c>
      <c r="T39" s="13">
        <f t="shared" si="17"/>
        <v>20000</v>
      </c>
      <c r="U39" s="13">
        <v>290000</v>
      </c>
      <c r="V39" s="13">
        <v>270000</v>
      </c>
      <c r="W39" s="13">
        <f t="shared" si="18"/>
        <v>20000</v>
      </c>
      <c r="X39" s="13">
        <v>0</v>
      </c>
      <c r="Y39" s="13">
        <v>0</v>
      </c>
      <c r="Z39" s="13">
        <f t="shared" si="9"/>
        <v>0</v>
      </c>
      <c r="AA39" s="13">
        <v>90000</v>
      </c>
      <c r="AB39" s="13">
        <v>84100</v>
      </c>
      <c r="AC39" s="13">
        <f t="shared" si="19"/>
        <v>5900</v>
      </c>
      <c r="AD39" s="13">
        <v>475000</v>
      </c>
      <c r="AE39" s="13">
        <v>0</v>
      </c>
      <c r="AF39" s="13">
        <f t="shared" si="10"/>
        <v>475000</v>
      </c>
      <c r="AG39" s="13">
        <v>1012900</v>
      </c>
      <c r="AH39" s="13">
        <v>187402.04</v>
      </c>
      <c r="AI39" s="13">
        <f t="shared" si="22"/>
        <v>825497.96</v>
      </c>
      <c r="AJ39" s="13">
        <v>160800</v>
      </c>
      <c r="AK39" s="13">
        <v>9160</v>
      </c>
      <c r="AL39" s="13">
        <f t="shared" si="11"/>
        <v>151640</v>
      </c>
      <c r="AM39" s="13">
        <v>1500000</v>
      </c>
      <c r="AN39" s="13">
        <v>0</v>
      </c>
      <c r="AO39" s="13">
        <f t="shared" si="23"/>
        <v>1500000</v>
      </c>
      <c r="AP39" s="13">
        <v>432000</v>
      </c>
      <c r="AQ39" s="13">
        <v>0</v>
      </c>
      <c r="AR39" s="13">
        <f t="shared" si="24"/>
        <v>432000</v>
      </c>
      <c r="AS39" s="13">
        <v>37000</v>
      </c>
      <c r="AT39" s="13">
        <v>27600</v>
      </c>
      <c r="AU39" s="13">
        <f t="shared" si="12"/>
        <v>9400</v>
      </c>
      <c r="AV39" s="13">
        <v>0</v>
      </c>
      <c r="AW39" s="13">
        <v>0</v>
      </c>
      <c r="AX39" s="13">
        <f t="shared" si="20"/>
        <v>0</v>
      </c>
      <c r="AY39" s="2">
        <f t="shared" si="13"/>
        <v>3997700</v>
      </c>
      <c r="AZ39" s="2">
        <f t="shared" si="13"/>
        <v>578262.04</v>
      </c>
      <c r="BA39" s="2">
        <f t="shared" si="2"/>
        <v>2978037.96</v>
      </c>
      <c r="BB39" s="13">
        <v>25397200</v>
      </c>
      <c r="BC39" s="13">
        <v>0</v>
      </c>
      <c r="BD39" s="13">
        <f t="shared" si="14"/>
        <v>25397200</v>
      </c>
      <c r="BE39" s="2">
        <f t="shared" si="3"/>
        <v>31948531</v>
      </c>
      <c r="BF39" s="2">
        <f t="shared" si="1"/>
        <v>1072974.06</v>
      </c>
      <c r="BG39" s="2">
        <f t="shared" si="15"/>
        <v>30875556.940000001</v>
      </c>
      <c r="BH39" s="13">
        <v>1167000</v>
      </c>
      <c r="BI39" s="13"/>
      <c r="BJ39" s="13">
        <f t="shared" si="21"/>
        <v>1167000</v>
      </c>
    </row>
    <row r="40" spans="1:62" x14ac:dyDescent="0.55000000000000004">
      <c r="A40" s="11">
        <v>32</v>
      </c>
      <c r="B40" s="12" t="s">
        <v>36</v>
      </c>
      <c r="C40" s="19">
        <v>512280</v>
      </c>
      <c r="D40" s="19">
        <v>256140</v>
      </c>
      <c r="E40" s="21">
        <f t="shared" si="4"/>
        <v>256140</v>
      </c>
      <c r="F40" s="13">
        <f>200000+590000</f>
        <v>790000</v>
      </c>
      <c r="G40" s="13">
        <v>343202.3</v>
      </c>
      <c r="H40" s="13">
        <f t="shared" si="5"/>
        <v>446797.7</v>
      </c>
      <c r="I40" s="13">
        <f>21000+18000</f>
        <v>39000</v>
      </c>
      <c r="J40" s="13">
        <v>19500</v>
      </c>
      <c r="K40" s="13">
        <f t="shared" si="6"/>
        <v>19500</v>
      </c>
      <c r="L40" s="13">
        <f>240000+38000+25000</f>
        <v>303000</v>
      </c>
      <c r="M40" s="13">
        <v>138170.09</v>
      </c>
      <c r="N40" s="13">
        <f t="shared" si="7"/>
        <v>164829.91</v>
      </c>
      <c r="O40" s="2">
        <f t="shared" si="16"/>
        <v>1132000</v>
      </c>
      <c r="P40" s="2">
        <f t="shared" si="0"/>
        <v>500872.39</v>
      </c>
      <c r="Q40" s="2">
        <f t="shared" si="8"/>
        <v>631127.61</v>
      </c>
      <c r="R40" s="13">
        <v>20000</v>
      </c>
      <c r="S40" s="13">
        <v>0</v>
      </c>
      <c r="T40" s="13">
        <f t="shared" si="17"/>
        <v>20000</v>
      </c>
      <c r="U40" s="13">
        <f>430000+240720</f>
        <v>670720</v>
      </c>
      <c r="V40" s="13">
        <v>430000</v>
      </c>
      <c r="W40" s="13">
        <f t="shared" si="18"/>
        <v>240720</v>
      </c>
      <c r="X40" s="13">
        <v>0</v>
      </c>
      <c r="Y40" s="13">
        <v>0</v>
      </c>
      <c r="Z40" s="13">
        <f t="shared" si="9"/>
        <v>0</v>
      </c>
      <c r="AA40" s="13">
        <v>90000</v>
      </c>
      <c r="AB40" s="13">
        <v>52000</v>
      </c>
      <c r="AC40" s="13">
        <f t="shared" si="19"/>
        <v>38000</v>
      </c>
      <c r="AD40" s="13">
        <v>450000</v>
      </c>
      <c r="AE40" s="13">
        <v>154800</v>
      </c>
      <c r="AF40" s="13">
        <f t="shared" si="10"/>
        <v>295200</v>
      </c>
      <c r="AG40" s="13">
        <v>1012900</v>
      </c>
      <c r="AH40" s="13">
        <v>272540</v>
      </c>
      <c r="AI40" s="13">
        <f t="shared" si="22"/>
        <v>740360</v>
      </c>
      <c r="AJ40" s="13">
        <v>202800</v>
      </c>
      <c r="AK40" s="13">
        <v>63865.599999999999</v>
      </c>
      <c r="AL40" s="13">
        <f t="shared" si="11"/>
        <v>138934.39999999999</v>
      </c>
      <c r="AM40" s="13">
        <v>1500000</v>
      </c>
      <c r="AN40" s="13">
        <v>0</v>
      </c>
      <c r="AO40" s="13">
        <f t="shared" si="23"/>
        <v>1500000</v>
      </c>
      <c r="AP40" s="13">
        <v>432000</v>
      </c>
      <c r="AQ40" s="13">
        <v>0</v>
      </c>
      <c r="AR40" s="13">
        <f t="shared" si="24"/>
        <v>432000</v>
      </c>
      <c r="AS40" s="13">
        <v>37000</v>
      </c>
      <c r="AT40" s="13">
        <v>37000</v>
      </c>
      <c r="AU40" s="13">
        <f t="shared" si="12"/>
        <v>0</v>
      </c>
      <c r="AV40" s="13">
        <v>0</v>
      </c>
      <c r="AW40" s="13">
        <v>0</v>
      </c>
      <c r="AX40" s="13">
        <f t="shared" si="20"/>
        <v>0</v>
      </c>
      <c r="AY40" s="2">
        <f t="shared" si="13"/>
        <v>4395420</v>
      </c>
      <c r="AZ40" s="2">
        <f t="shared" si="13"/>
        <v>1010205.6</v>
      </c>
      <c r="BA40" s="2">
        <f t="shared" si="2"/>
        <v>2953214.4</v>
      </c>
      <c r="BB40" s="13">
        <v>26059400</v>
      </c>
      <c r="BC40" s="13">
        <v>0</v>
      </c>
      <c r="BD40" s="13">
        <f t="shared" si="14"/>
        <v>26059400</v>
      </c>
      <c r="BE40" s="2">
        <f t="shared" si="3"/>
        <v>32119100</v>
      </c>
      <c r="BF40" s="2">
        <f t="shared" ref="BF40:BF71" si="26">SUM(P40+S40+AZ40+BC40+D40)</f>
        <v>1767217.99</v>
      </c>
      <c r="BG40" s="2">
        <f t="shared" si="15"/>
        <v>30351882.010000002</v>
      </c>
      <c r="BH40" s="13">
        <v>1790000</v>
      </c>
      <c r="BI40" s="13"/>
      <c r="BJ40" s="13">
        <f t="shared" si="21"/>
        <v>1790000</v>
      </c>
    </row>
    <row r="41" spans="1:62" x14ac:dyDescent="0.55000000000000004">
      <c r="A41" s="11">
        <v>33</v>
      </c>
      <c r="B41" s="12" t="s">
        <v>37</v>
      </c>
      <c r="C41" s="19">
        <v>512100</v>
      </c>
      <c r="D41" s="19">
        <v>256050</v>
      </c>
      <c r="E41" s="21">
        <f t="shared" si="4"/>
        <v>256050</v>
      </c>
      <c r="F41" s="13">
        <f t="shared" si="25"/>
        <v>200000</v>
      </c>
      <c r="G41" s="13">
        <v>60518</v>
      </c>
      <c r="H41" s="13">
        <f t="shared" si="5"/>
        <v>139482</v>
      </c>
      <c r="I41" s="13">
        <f>79800+18000</f>
        <v>97800</v>
      </c>
      <c r="J41" s="13">
        <v>27600</v>
      </c>
      <c r="K41" s="13">
        <f t="shared" si="6"/>
        <v>70200</v>
      </c>
      <c r="L41" s="13">
        <f>159000+20096+181000+179400+16600</f>
        <v>556096</v>
      </c>
      <c r="M41" s="13">
        <v>177076.33</v>
      </c>
      <c r="N41" s="13">
        <f t="shared" si="7"/>
        <v>379019.67000000004</v>
      </c>
      <c r="O41" s="2">
        <f t="shared" si="16"/>
        <v>853896</v>
      </c>
      <c r="P41" s="2">
        <f t="shared" si="0"/>
        <v>265194.32999999996</v>
      </c>
      <c r="Q41" s="2">
        <f t="shared" si="8"/>
        <v>588701.67000000004</v>
      </c>
      <c r="R41" s="13">
        <v>20000</v>
      </c>
      <c r="S41" s="13">
        <v>0</v>
      </c>
      <c r="T41" s="13">
        <f t="shared" si="17"/>
        <v>20000</v>
      </c>
      <c r="U41" s="13">
        <f>390000+250000</f>
        <v>640000</v>
      </c>
      <c r="V41" s="13">
        <v>372450</v>
      </c>
      <c r="W41" s="13">
        <f t="shared" si="18"/>
        <v>267550</v>
      </c>
      <c r="X41" s="13">
        <v>0</v>
      </c>
      <c r="Y41" s="13">
        <v>0</v>
      </c>
      <c r="Z41" s="13">
        <f t="shared" si="9"/>
        <v>0</v>
      </c>
      <c r="AA41" s="13">
        <v>90000</v>
      </c>
      <c r="AB41" s="13">
        <v>43760</v>
      </c>
      <c r="AC41" s="13">
        <f t="shared" si="19"/>
        <v>46240</v>
      </c>
      <c r="AD41" s="13">
        <v>423100</v>
      </c>
      <c r="AE41" s="13">
        <v>0</v>
      </c>
      <c r="AF41" s="13">
        <f t="shared" si="10"/>
        <v>423100</v>
      </c>
      <c r="AG41" s="13">
        <v>1012900</v>
      </c>
      <c r="AH41" s="13">
        <v>125108</v>
      </c>
      <c r="AI41" s="13">
        <f t="shared" si="22"/>
        <v>887792</v>
      </c>
      <c r="AJ41" s="13">
        <v>190800</v>
      </c>
      <c r="AK41" s="13">
        <v>48000</v>
      </c>
      <c r="AL41" s="13">
        <f t="shared" si="11"/>
        <v>142800</v>
      </c>
      <c r="AM41" s="13">
        <v>1500000</v>
      </c>
      <c r="AN41" s="13">
        <v>0</v>
      </c>
      <c r="AO41" s="13">
        <f t="shared" si="23"/>
        <v>1500000</v>
      </c>
      <c r="AP41" s="13">
        <v>432000</v>
      </c>
      <c r="AQ41" s="13">
        <v>0</v>
      </c>
      <c r="AR41" s="13">
        <f t="shared" si="24"/>
        <v>432000</v>
      </c>
      <c r="AS41" s="13">
        <v>37000</v>
      </c>
      <c r="AT41" s="13">
        <v>37000</v>
      </c>
      <c r="AU41" s="13">
        <f t="shared" si="12"/>
        <v>0</v>
      </c>
      <c r="AV41" s="13">
        <v>0</v>
      </c>
      <c r="AW41" s="13">
        <v>0</v>
      </c>
      <c r="AX41" s="13">
        <f t="shared" si="20"/>
        <v>0</v>
      </c>
      <c r="AY41" s="2">
        <f t="shared" si="13"/>
        <v>4325800</v>
      </c>
      <c r="AZ41" s="2">
        <f t="shared" si="13"/>
        <v>626318</v>
      </c>
      <c r="BA41" s="2">
        <f t="shared" si="2"/>
        <v>3267482</v>
      </c>
      <c r="BB41" s="13">
        <v>260803600</v>
      </c>
      <c r="BC41" s="13">
        <v>230659300</v>
      </c>
      <c r="BD41" s="13">
        <f t="shared" si="14"/>
        <v>30144300</v>
      </c>
      <c r="BE41" s="2">
        <f t="shared" ref="BE41:BE72" si="27">SUM(O41+R41+AY41+BB41+C41)</f>
        <v>266515396</v>
      </c>
      <c r="BF41" s="2">
        <f t="shared" si="26"/>
        <v>231806862.33000001</v>
      </c>
      <c r="BG41" s="2">
        <f t="shared" si="15"/>
        <v>34708533.669999987</v>
      </c>
      <c r="BH41" s="13">
        <v>1612000</v>
      </c>
      <c r="BI41" s="13"/>
      <c r="BJ41" s="13">
        <f t="shared" si="21"/>
        <v>1612000</v>
      </c>
    </row>
    <row r="42" spans="1:62" x14ac:dyDescent="0.55000000000000004">
      <c r="A42" s="11">
        <v>34</v>
      </c>
      <c r="B42" s="12" t="s">
        <v>38</v>
      </c>
      <c r="C42" s="19">
        <v>498240</v>
      </c>
      <c r="D42" s="19">
        <v>249120</v>
      </c>
      <c r="E42" s="21">
        <f t="shared" si="4"/>
        <v>249120</v>
      </c>
      <c r="F42" s="13">
        <f>200000+948984</f>
        <v>1148984</v>
      </c>
      <c r="G42" s="13">
        <v>205038.37</v>
      </c>
      <c r="H42" s="13">
        <f t="shared" si="5"/>
        <v>943945.63</v>
      </c>
      <c r="I42" s="13">
        <f>48000+48000+18000</f>
        <v>114000</v>
      </c>
      <c r="J42" s="13">
        <v>30330</v>
      </c>
      <c r="K42" s="13">
        <f t="shared" si="6"/>
        <v>83670</v>
      </c>
      <c r="L42" s="13">
        <f>120000+42800+191000+26988</f>
        <v>380788</v>
      </c>
      <c r="M42" s="13">
        <v>80437.25</v>
      </c>
      <c r="N42" s="13">
        <f t="shared" si="7"/>
        <v>300350.75</v>
      </c>
      <c r="O42" s="2">
        <f t="shared" si="16"/>
        <v>1643772</v>
      </c>
      <c r="P42" s="2">
        <f t="shared" si="0"/>
        <v>315805.62</v>
      </c>
      <c r="Q42" s="2">
        <f t="shared" si="8"/>
        <v>1327966.3799999999</v>
      </c>
      <c r="R42" s="13">
        <v>20000</v>
      </c>
      <c r="S42" s="13">
        <v>0</v>
      </c>
      <c r="T42" s="13">
        <f t="shared" si="17"/>
        <v>20000</v>
      </c>
      <c r="U42" s="13">
        <f>390000+204790</f>
        <v>594790</v>
      </c>
      <c r="V42" s="13">
        <v>387150</v>
      </c>
      <c r="W42" s="13">
        <f t="shared" si="18"/>
        <v>207640</v>
      </c>
      <c r="X42" s="13">
        <v>0</v>
      </c>
      <c r="Y42" s="13">
        <v>0</v>
      </c>
      <c r="Z42" s="13">
        <f t="shared" si="9"/>
        <v>0</v>
      </c>
      <c r="AA42" s="13">
        <v>90000</v>
      </c>
      <c r="AB42" s="13"/>
      <c r="AC42" s="13">
        <f t="shared" si="19"/>
        <v>90000</v>
      </c>
      <c r="AD42" s="13">
        <v>410200</v>
      </c>
      <c r="AE42" s="13">
        <v>165900</v>
      </c>
      <c r="AF42" s="13">
        <f t="shared" si="10"/>
        <v>244300</v>
      </c>
      <c r="AG42" s="13">
        <v>1012900</v>
      </c>
      <c r="AH42" s="13">
        <v>239738.56</v>
      </c>
      <c r="AI42" s="13">
        <f t="shared" si="22"/>
        <v>773161.44</v>
      </c>
      <c r="AJ42" s="13">
        <v>190800</v>
      </c>
      <c r="AK42" s="13">
        <v>6124</v>
      </c>
      <c r="AL42" s="13">
        <f t="shared" si="11"/>
        <v>184676</v>
      </c>
      <c r="AM42" s="13">
        <v>1500000</v>
      </c>
      <c r="AN42" s="13">
        <v>95900</v>
      </c>
      <c r="AO42" s="13">
        <f t="shared" si="23"/>
        <v>1404100</v>
      </c>
      <c r="AP42" s="13">
        <v>432000</v>
      </c>
      <c r="AQ42" s="13">
        <v>0</v>
      </c>
      <c r="AR42" s="13">
        <f t="shared" si="24"/>
        <v>432000</v>
      </c>
      <c r="AS42" s="13">
        <v>37000</v>
      </c>
      <c r="AT42" s="13">
        <v>32300</v>
      </c>
      <c r="AU42" s="13">
        <f t="shared" si="12"/>
        <v>4700</v>
      </c>
      <c r="AV42" s="13">
        <v>0</v>
      </c>
      <c r="AW42" s="13">
        <v>0</v>
      </c>
      <c r="AX42" s="13">
        <f t="shared" si="20"/>
        <v>0</v>
      </c>
      <c r="AY42" s="2">
        <f t="shared" si="13"/>
        <v>4267690</v>
      </c>
      <c r="AZ42" s="2">
        <f t="shared" si="13"/>
        <v>927112.56</v>
      </c>
      <c r="BA42" s="2">
        <f t="shared" si="2"/>
        <v>2903877.44</v>
      </c>
      <c r="BB42" s="13">
        <v>11172000</v>
      </c>
      <c r="BC42" s="13">
        <v>0</v>
      </c>
      <c r="BD42" s="13">
        <f t="shared" si="14"/>
        <v>11172000</v>
      </c>
      <c r="BE42" s="2">
        <f t="shared" si="27"/>
        <v>17601702</v>
      </c>
      <c r="BF42" s="2">
        <f t="shared" si="26"/>
        <v>1492038.1800000002</v>
      </c>
      <c r="BG42" s="2">
        <f t="shared" si="15"/>
        <v>16109663.82</v>
      </c>
      <c r="BH42" s="13">
        <v>1612000</v>
      </c>
      <c r="BI42" s="13"/>
      <c r="BJ42" s="13">
        <f t="shared" si="21"/>
        <v>1612000</v>
      </c>
    </row>
    <row r="43" spans="1:62" x14ac:dyDescent="0.55000000000000004">
      <c r="A43" s="11">
        <v>35</v>
      </c>
      <c r="B43" s="12" t="s">
        <v>39</v>
      </c>
      <c r="C43" s="19">
        <v>634440</v>
      </c>
      <c r="D43" s="19">
        <v>317220</v>
      </c>
      <c r="E43" s="21">
        <f t="shared" si="4"/>
        <v>317220</v>
      </c>
      <c r="F43" s="13">
        <f>200000+896052</f>
        <v>1096052</v>
      </c>
      <c r="G43" s="13">
        <v>322715</v>
      </c>
      <c r="H43" s="13">
        <f t="shared" si="5"/>
        <v>773337</v>
      </c>
      <c r="I43" s="13">
        <f>72000+22500</f>
        <v>94500</v>
      </c>
      <c r="J43" s="13">
        <f>12000+11250</f>
        <v>23250</v>
      </c>
      <c r="K43" s="13">
        <f t="shared" si="6"/>
        <v>71250</v>
      </c>
      <c r="L43" s="13">
        <f>210000+53000+804548+15220+61000</f>
        <v>1143768</v>
      </c>
      <c r="M43" s="13">
        <v>267690.21000000002</v>
      </c>
      <c r="N43" s="13">
        <f t="shared" si="7"/>
        <v>876077.79</v>
      </c>
      <c r="O43" s="2">
        <f t="shared" si="16"/>
        <v>2334320</v>
      </c>
      <c r="P43" s="2">
        <f t="shared" si="0"/>
        <v>613655.21</v>
      </c>
      <c r="Q43" s="2">
        <f t="shared" si="8"/>
        <v>1720664.79</v>
      </c>
      <c r="R43" s="13">
        <v>20000</v>
      </c>
      <c r="S43" s="13">
        <v>0</v>
      </c>
      <c r="T43" s="13">
        <f t="shared" si="17"/>
        <v>20000</v>
      </c>
      <c r="U43" s="13">
        <v>270000</v>
      </c>
      <c r="V43" s="13">
        <v>270000</v>
      </c>
      <c r="W43" s="13">
        <f t="shared" si="18"/>
        <v>0</v>
      </c>
      <c r="X43" s="13">
        <v>500000</v>
      </c>
      <c r="Y43" s="13">
        <v>0</v>
      </c>
      <c r="Z43" s="13">
        <f t="shared" si="9"/>
        <v>500000</v>
      </c>
      <c r="AA43" s="13">
        <v>90000</v>
      </c>
      <c r="AB43" s="13">
        <v>28850</v>
      </c>
      <c r="AC43" s="13">
        <f t="shared" si="19"/>
        <v>61150</v>
      </c>
      <c r="AD43" s="13">
        <v>593800</v>
      </c>
      <c r="AE43" s="13">
        <v>393000</v>
      </c>
      <c r="AF43" s="13">
        <f t="shared" si="10"/>
        <v>200800</v>
      </c>
      <c r="AG43" s="13">
        <v>1012900</v>
      </c>
      <c r="AH43" s="13">
        <v>120000</v>
      </c>
      <c r="AI43" s="13">
        <f t="shared" si="22"/>
        <v>892900</v>
      </c>
      <c r="AJ43" s="13">
        <v>154800</v>
      </c>
      <c r="AK43" s="13">
        <v>0</v>
      </c>
      <c r="AL43" s="13">
        <f t="shared" si="11"/>
        <v>154800</v>
      </c>
      <c r="AM43" s="13">
        <v>1500000</v>
      </c>
      <c r="AN43" s="13">
        <v>0</v>
      </c>
      <c r="AO43" s="13">
        <f t="shared" si="23"/>
        <v>1500000</v>
      </c>
      <c r="AP43" s="13">
        <v>432000</v>
      </c>
      <c r="AQ43" s="13">
        <v>0</v>
      </c>
      <c r="AR43" s="13">
        <f t="shared" si="24"/>
        <v>432000</v>
      </c>
      <c r="AS43" s="13">
        <v>37000</v>
      </c>
      <c r="AT43" s="13">
        <v>18800</v>
      </c>
      <c r="AU43" s="13">
        <f t="shared" si="12"/>
        <v>18200</v>
      </c>
      <c r="AV43" s="13">
        <v>0</v>
      </c>
      <c r="AW43" s="13">
        <v>0</v>
      </c>
      <c r="AX43" s="13">
        <f t="shared" si="20"/>
        <v>0</v>
      </c>
      <c r="AY43" s="2">
        <f t="shared" si="13"/>
        <v>4590500</v>
      </c>
      <c r="AZ43" s="2">
        <f t="shared" si="13"/>
        <v>830650</v>
      </c>
      <c r="BA43" s="2">
        <f t="shared" si="2"/>
        <v>3309650</v>
      </c>
      <c r="BB43" s="13">
        <v>0</v>
      </c>
      <c r="BC43" s="13">
        <v>0</v>
      </c>
      <c r="BD43" s="13">
        <f t="shared" si="14"/>
        <v>0</v>
      </c>
      <c r="BE43" s="2">
        <f t="shared" si="27"/>
        <v>7579260</v>
      </c>
      <c r="BF43" s="2">
        <f t="shared" si="26"/>
        <v>1761525.21</v>
      </c>
      <c r="BG43" s="2">
        <f t="shared" si="15"/>
        <v>5817734.79</v>
      </c>
      <c r="BH43" s="13">
        <v>1078000</v>
      </c>
      <c r="BI43" s="13"/>
      <c r="BJ43" s="13">
        <f t="shared" si="21"/>
        <v>1078000</v>
      </c>
    </row>
    <row r="44" spans="1:62" x14ac:dyDescent="0.55000000000000004">
      <c r="A44" s="11">
        <v>36</v>
      </c>
      <c r="B44" s="12" t="s">
        <v>40</v>
      </c>
      <c r="C44" s="19">
        <v>904140</v>
      </c>
      <c r="D44" s="19">
        <v>452070</v>
      </c>
      <c r="E44" s="21">
        <f t="shared" si="4"/>
        <v>452070</v>
      </c>
      <c r="F44" s="13">
        <f t="shared" si="25"/>
        <v>200000</v>
      </c>
      <c r="G44" s="13">
        <v>120575</v>
      </c>
      <c r="H44" s="13">
        <f t="shared" si="5"/>
        <v>79425</v>
      </c>
      <c r="I44" s="13">
        <f>81000+31500</f>
        <v>112500</v>
      </c>
      <c r="J44" s="13">
        <f>40500+15750</f>
        <v>56250</v>
      </c>
      <c r="K44" s="13">
        <f t="shared" si="6"/>
        <v>56250</v>
      </c>
      <c r="L44" s="13">
        <f>225000+19124+155000+42800+1164000+35000</f>
        <v>1640924</v>
      </c>
      <c r="M44" s="13">
        <v>309402.88</v>
      </c>
      <c r="N44" s="13">
        <f t="shared" si="7"/>
        <v>1331521.1200000001</v>
      </c>
      <c r="O44" s="2">
        <f t="shared" si="16"/>
        <v>1953424</v>
      </c>
      <c r="P44" s="2">
        <f t="shared" si="0"/>
        <v>486227.88</v>
      </c>
      <c r="Q44" s="2">
        <f t="shared" si="8"/>
        <v>1467196.12</v>
      </c>
      <c r="R44" s="13">
        <v>20000</v>
      </c>
      <c r="S44" s="13">
        <v>0</v>
      </c>
      <c r="T44" s="13">
        <f t="shared" si="17"/>
        <v>20000</v>
      </c>
      <c r="U44" s="13">
        <v>170000</v>
      </c>
      <c r="V44" s="13">
        <v>170000</v>
      </c>
      <c r="W44" s="13">
        <f t="shared" si="18"/>
        <v>0</v>
      </c>
      <c r="X44" s="13">
        <v>500000</v>
      </c>
      <c r="Y44" s="13">
        <v>60000</v>
      </c>
      <c r="Z44" s="13">
        <f t="shared" si="9"/>
        <v>440000</v>
      </c>
      <c r="AA44" s="13">
        <v>90000</v>
      </c>
      <c r="AB44" s="13">
        <v>24500</v>
      </c>
      <c r="AC44" s="13">
        <f t="shared" si="19"/>
        <v>65500</v>
      </c>
      <c r="AD44" s="13">
        <v>467500</v>
      </c>
      <c r="AE44" s="13">
        <v>0</v>
      </c>
      <c r="AF44" s="13">
        <f t="shared" si="10"/>
        <v>467500</v>
      </c>
      <c r="AG44" s="13">
        <v>1012900</v>
      </c>
      <c r="AH44" s="13">
        <v>203268.46</v>
      </c>
      <c r="AI44" s="13">
        <f t="shared" si="22"/>
        <v>809631.54</v>
      </c>
      <c r="AJ44" s="13">
        <v>124800</v>
      </c>
      <c r="AK44" s="13">
        <v>19623.88</v>
      </c>
      <c r="AL44" s="13">
        <f t="shared" si="11"/>
        <v>105176.12</v>
      </c>
      <c r="AM44" s="13">
        <v>1500000</v>
      </c>
      <c r="AN44" s="13">
        <v>0</v>
      </c>
      <c r="AO44" s="13">
        <f t="shared" si="23"/>
        <v>1500000</v>
      </c>
      <c r="AP44" s="13">
        <v>432000</v>
      </c>
      <c r="AQ44" s="13">
        <v>0</v>
      </c>
      <c r="AR44" s="13">
        <f t="shared" si="24"/>
        <v>432000</v>
      </c>
      <c r="AS44" s="13">
        <v>37000</v>
      </c>
      <c r="AT44" s="13">
        <v>0</v>
      </c>
      <c r="AU44" s="13">
        <f t="shared" si="12"/>
        <v>37000</v>
      </c>
      <c r="AV44" s="13">
        <v>0</v>
      </c>
      <c r="AW44" s="13">
        <v>0</v>
      </c>
      <c r="AX44" s="13">
        <f t="shared" si="20"/>
        <v>0</v>
      </c>
      <c r="AY44" s="2">
        <f t="shared" si="13"/>
        <v>4334200</v>
      </c>
      <c r="AZ44" s="2">
        <f t="shared" si="13"/>
        <v>477392.33999999997</v>
      </c>
      <c r="BA44" s="2">
        <f t="shared" si="2"/>
        <v>3387807.66</v>
      </c>
      <c r="BB44" s="13">
        <v>27967000</v>
      </c>
      <c r="BC44" s="13">
        <v>0</v>
      </c>
      <c r="BD44" s="13">
        <f t="shared" si="14"/>
        <v>27967000</v>
      </c>
      <c r="BE44" s="2">
        <f t="shared" si="27"/>
        <v>35178764</v>
      </c>
      <c r="BF44" s="2">
        <f t="shared" si="26"/>
        <v>1415690.22</v>
      </c>
      <c r="BG44" s="2">
        <f t="shared" si="15"/>
        <v>33763073.780000001</v>
      </c>
      <c r="BH44" s="13">
        <v>633000</v>
      </c>
      <c r="BI44" s="13"/>
      <c r="BJ44" s="13">
        <f t="shared" si="21"/>
        <v>633000</v>
      </c>
    </row>
    <row r="45" spans="1:62" x14ac:dyDescent="0.55000000000000004">
      <c r="A45" s="11">
        <v>37</v>
      </c>
      <c r="B45" s="12" t="s">
        <v>41</v>
      </c>
      <c r="C45" s="19">
        <v>721440</v>
      </c>
      <c r="D45" s="19">
        <v>360720</v>
      </c>
      <c r="E45" s="21">
        <f t="shared" si="4"/>
        <v>360720</v>
      </c>
      <c r="F45" s="13">
        <f t="shared" si="25"/>
        <v>200000</v>
      </c>
      <c r="G45" s="13">
        <v>45219.02</v>
      </c>
      <c r="H45" s="13">
        <f t="shared" si="5"/>
        <v>154780.98000000001</v>
      </c>
      <c r="I45" s="13">
        <f>162000+261600+12000+27000</f>
        <v>462600</v>
      </c>
      <c r="J45" s="13">
        <f>106700+13500+30032.1</f>
        <v>150232.1</v>
      </c>
      <c r="K45" s="13">
        <f t="shared" si="6"/>
        <v>312367.90000000002</v>
      </c>
      <c r="L45" s="13">
        <f>531000+90600+252057+263000+100000+52000+2824800</f>
        <v>4113457</v>
      </c>
      <c r="M45" s="13">
        <v>734667.23</v>
      </c>
      <c r="N45" s="13">
        <f t="shared" si="7"/>
        <v>3378789.77</v>
      </c>
      <c r="O45" s="2">
        <f t="shared" si="16"/>
        <v>4776057</v>
      </c>
      <c r="P45" s="2">
        <f t="shared" si="0"/>
        <v>930118.35</v>
      </c>
      <c r="Q45" s="2">
        <f t="shared" si="8"/>
        <v>3845938.65</v>
      </c>
      <c r="R45" s="13">
        <v>20000</v>
      </c>
      <c r="S45" s="13">
        <v>0</v>
      </c>
      <c r="T45" s="13">
        <f t="shared" si="17"/>
        <v>20000</v>
      </c>
      <c r="U45" s="13">
        <f>530000+175300</f>
        <v>705300</v>
      </c>
      <c r="V45" s="13">
        <v>470000</v>
      </c>
      <c r="W45" s="13">
        <f t="shared" si="18"/>
        <v>235300</v>
      </c>
      <c r="X45" s="13">
        <v>0</v>
      </c>
      <c r="Y45" s="13">
        <v>0</v>
      </c>
      <c r="Z45" s="13">
        <f t="shared" si="9"/>
        <v>0</v>
      </c>
      <c r="AA45" s="13">
        <v>90000</v>
      </c>
      <c r="AB45" s="13">
        <v>50700</v>
      </c>
      <c r="AC45" s="13">
        <f t="shared" si="19"/>
        <v>39300</v>
      </c>
      <c r="AD45" s="13">
        <v>495150</v>
      </c>
      <c r="AE45" s="13">
        <v>0</v>
      </c>
      <c r="AF45" s="13">
        <f t="shared" si="10"/>
        <v>495150</v>
      </c>
      <c r="AG45" s="13">
        <v>1012900</v>
      </c>
      <c r="AH45" s="13">
        <v>127218.6</v>
      </c>
      <c r="AI45" s="13">
        <f t="shared" si="22"/>
        <v>885681.4</v>
      </c>
      <c r="AJ45" s="13">
        <v>235860</v>
      </c>
      <c r="AK45" s="13">
        <v>36719.54</v>
      </c>
      <c r="AL45" s="13">
        <f t="shared" si="11"/>
        <v>199140.46</v>
      </c>
      <c r="AM45" s="13">
        <v>1500000</v>
      </c>
      <c r="AN45" s="13">
        <v>0</v>
      </c>
      <c r="AO45" s="13">
        <f t="shared" si="23"/>
        <v>1500000</v>
      </c>
      <c r="AP45" s="13">
        <v>432000</v>
      </c>
      <c r="AQ45" s="13">
        <v>0</v>
      </c>
      <c r="AR45" s="13">
        <f t="shared" si="24"/>
        <v>432000</v>
      </c>
      <c r="AS45" s="13">
        <v>37000</v>
      </c>
      <c r="AT45" s="13">
        <v>0</v>
      </c>
      <c r="AU45" s="13">
        <f t="shared" si="12"/>
        <v>37000</v>
      </c>
      <c r="AV45" s="13">
        <v>0</v>
      </c>
      <c r="AW45" s="13">
        <v>0</v>
      </c>
      <c r="AX45" s="13">
        <f t="shared" si="20"/>
        <v>0</v>
      </c>
      <c r="AY45" s="2">
        <f t="shared" si="13"/>
        <v>4508210</v>
      </c>
      <c r="AZ45" s="2">
        <f t="shared" si="13"/>
        <v>684638.14</v>
      </c>
      <c r="BA45" s="2">
        <f t="shared" si="2"/>
        <v>3354571.86</v>
      </c>
      <c r="BB45" s="13">
        <v>11600000</v>
      </c>
      <c r="BC45" s="13">
        <v>0</v>
      </c>
      <c r="BD45" s="13">
        <f t="shared" si="14"/>
        <v>11600000</v>
      </c>
      <c r="BE45" s="2">
        <f t="shared" si="27"/>
        <v>21625707</v>
      </c>
      <c r="BF45" s="2">
        <f t="shared" si="26"/>
        <v>1975476.49</v>
      </c>
      <c r="BG45" s="2">
        <f t="shared" si="15"/>
        <v>19650230.510000002</v>
      </c>
      <c r="BH45" s="13">
        <v>2235000</v>
      </c>
      <c r="BI45" s="13"/>
      <c r="BJ45" s="13">
        <f t="shared" si="21"/>
        <v>2235000</v>
      </c>
    </row>
    <row r="46" spans="1:62" x14ac:dyDescent="0.55000000000000004">
      <c r="A46" s="11">
        <v>38</v>
      </c>
      <c r="B46" s="12" t="s">
        <v>42</v>
      </c>
      <c r="C46" s="19">
        <v>697740</v>
      </c>
      <c r="D46" s="19">
        <v>348870</v>
      </c>
      <c r="E46" s="21">
        <f t="shared" si="4"/>
        <v>348870</v>
      </c>
      <c r="F46" s="13">
        <f t="shared" si="25"/>
        <v>200000</v>
      </c>
      <c r="G46" s="13">
        <v>163141</v>
      </c>
      <c r="H46" s="13">
        <f t="shared" si="5"/>
        <v>36859</v>
      </c>
      <c r="I46" s="13">
        <f>263400+22500</f>
        <v>285900</v>
      </c>
      <c r="J46" s="13">
        <f>117800+11250</f>
        <v>129050</v>
      </c>
      <c r="K46" s="13">
        <f t="shared" si="6"/>
        <v>156850</v>
      </c>
      <c r="L46" s="13">
        <f>84000+518900+25205+28000+2000+11246</f>
        <v>669351</v>
      </c>
      <c r="M46" s="13">
        <v>173521.43</v>
      </c>
      <c r="N46" s="13">
        <f t="shared" si="7"/>
        <v>495829.57</v>
      </c>
      <c r="O46" s="2">
        <f t="shared" si="16"/>
        <v>1155251</v>
      </c>
      <c r="P46" s="2">
        <f t="shared" si="0"/>
        <v>465712.43</v>
      </c>
      <c r="Q46" s="2">
        <f t="shared" si="8"/>
        <v>689538.57000000007</v>
      </c>
      <c r="R46" s="13">
        <v>20000</v>
      </c>
      <c r="S46" s="13">
        <v>0</v>
      </c>
      <c r="T46" s="13">
        <f t="shared" si="17"/>
        <v>20000</v>
      </c>
      <c r="U46" s="13">
        <f>190000+46400</f>
        <v>236400</v>
      </c>
      <c r="V46" s="13">
        <v>189980</v>
      </c>
      <c r="W46" s="13">
        <f t="shared" si="18"/>
        <v>46420</v>
      </c>
      <c r="X46" s="13">
        <v>0</v>
      </c>
      <c r="Y46" s="13">
        <v>0</v>
      </c>
      <c r="Z46" s="13">
        <f t="shared" si="9"/>
        <v>0</v>
      </c>
      <c r="AA46" s="13">
        <v>90000</v>
      </c>
      <c r="AB46" s="13">
        <v>8500</v>
      </c>
      <c r="AC46" s="13">
        <f t="shared" si="19"/>
        <v>81500</v>
      </c>
      <c r="AD46" s="13">
        <v>310000</v>
      </c>
      <c r="AE46" s="13">
        <v>0</v>
      </c>
      <c r="AF46" s="13">
        <f t="shared" si="10"/>
        <v>310000</v>
      </c>
      <c r="AG46" s="13">
        <v>1012900</v>
      </c>
      <c r="AH46" s="13">
        <v>169483.59</v>
      </c>
      <c r="AI46" s="13">
        <f t="shared" si="22"/>
        <v>843416.41</v>
      </c>
      <c r="AJ46" s="13">
        <v>130800</v>
      </c>
      <c r="AK46" s="13">
        <v>0</v>
      </c>
      <c r="AL46" s="13">
        <f t="shared" si="11"/>
        <v>130800</v>
      </c>
      <c r="AM46" s="13">
        <v>1500000</v>
      </c>
      <c r="AN46" s="13">
        <v>0</v>
      </c>
      <c r="AO46" s="13">
        <f t="shared" si="23"/>
        <v>1500000</v>
      </c>
      <c r="AP46" s="13">
        <v>432000</v>
      </c>
      <c r="AQ46" s="13">
        <v>0</v>
      </c>
      <c r="AR46" s="13">
        <f t="shared" si="24"/>
        <v>432000</v>
      </c>
      <c r="AS46" s="13">
        <v>37000</v>
      </c>
      <c r="AT46" s="13">
        <v>37000</v>
      </c>
      <c r="AU46" s="13">
        <f t="shared" si="12"/>
        <v>0</v>
      </c>
      <c r="AV46" s="13">
        <v>0</v>
      </c>
      <c r="AW46" s="13">
        <v>0</v>
      </c>
      <c r="AX46" s="13">
        <f t="shared" si="20"/>
        <v>0</v>
      </c>
      <c r="AY46" s="2">
        <f t="shared" si="13"/>
        <v>3749100</v>
      </c>
      <c r="AZ46" s="2">
        <f t="shared" si="13"/>
        <v>404963.58999999997</v>
      </c>
      <c r="BA46" s="2">
        <f t="shared" si="2"/>
        <v>2912136.41</v>
      </c>
      <c r="BB46" s="13">
        <v>49157800</v>
      </c>
      <c r="BC46" s="13">
        <v>18174594.399999999</v>
      </c>
      <c r="BD46" s="13">
        <f t="shared" si="14"/>
        <v>30983205.600000001</v>
      </c>
      <c r="BE46" s="2">
        <f t="shared" si="27"/>
        <v>54779891</v>
      </c>
      <c r="BF46" s="2">
        <f t="shared" si="26"/>
        <v>19394140.419999998</v>
      </c>
      <c r="BG46" s="2">
        <f t="shared" si="15"/>
        <v>35385750.579999998</v>
      </c>
      <c r="BH46" s="13">
        <v>722000</v>
      </c>
      <c r="BI46" s="13"/>
      <c r="BJ46" s="13">
        <f t="shared" si="21"/>
        <v>722000</v>
      </c>
    </row>
    <row r="47" spans="1:62" x14ac:dyDescent="0.55000000000000004">
      <c r="A47" s="11">
        <v>39</v>
      </c>
      <c r="B47" s="12" t="s">
        <v>43</v>
      </c>
      <c r="C47" s="19">
        <v>807180</v>
      </c>
      <c r="D47" s="19">
        <v>403590</v>
      </c>
      <c r="E47" s="21">
        <f t="shared" si="4"/>
        <v>403590</v>
      </c>
      <c r="F47" s="13">
        <f t="shared" si="25"/>
        <v>200000</v>
      </c>
      <c r="G47" s="13">
        <v>132140.81</v>
      </c>
      <c r="H47" s="13">
        <f t="shared" si="5"/>
        <v>67859.19</v>
      </c>
      <c r="I47" s="13">
        <f>290400+27000+20184</f>
        <v>337584</v>
      </c>
      <c r="J47" s="13">
        <f>127284+13500</f>
        <v>140784</v>
      </c>
      <c r="K47" s="13">
        <f t="shared" si="6"/>
        <v>196800</v>
      </c>
      <c r="L47" s="13">
        <f>180000+48000+33000+9480+818451</f>
        <v>1088931</v>
      </c>
      <c r="M47" s="13">
        <v>145725.67000000001</v>
      </c>
      <c r="N47" s="13">
        <f t="shared" si="7"/>
        <v>943205.33</v>
      </c>
      <c r="O47" s="2">
        <f t="shared" si="16"/>
        <v>1626515</v>
      </c>
      <c r="P47" s="2">
        <f t="shared" si="0"/>
        <v>418650.48</v>
      </c>
      <c r="Q47" s="2">
        <f t="shared" si="8"/>
        <v>1207864.52</v>
      </c>
      <c r="R47" s="13">
        <v>20000</v>
      </c>
      <c r="S47" s="13">
        <v>0</v>
      </c>
      <c r="T47" s="13">
        <f t="shared" si="17"/>
        <v>20000</v>
      </c>
      <c r="U47" s="13">
        <v>290000</v>
      </c>
      <c r="V47" s="13">
        <v>290000</v>
      </c>
      <c r="W47" s="13">
        <f t="shared" si="18"/>
        <v>0</v>
      </c>
      <c r="X47" s="13">
        <v>0</v>
      </c>
      <c r="Y47" s="13">
        <v>0</v>
      </c>
      <c r="Z47" s="13">
        <f t="shared" si="9"/>
        <v>0</v>
      </c>
      <c r="AA47" s="13">
        <v>90000</v>
      </c>
      <c r="AB47" s="13">
        <v>32160</v>
      </c>
      <c r="AC47" s="13">
        <f t="shared" si="19"/>
        <v>57840</v>
      </c>
      <c r="AD47" s="13">
        <v>600000</v>
      </c>
      <c r="AE47" s="13">
        <v>0</v>
      </c>
      <c r="AF47" s="13">
        <f t="shared" si="10"/>
        <v>600000</v>
      </c>
      <c r="AG47" s="13">
        <v>1012900</v>
      </c>
      <c r="AH47" s="13">
        <v>149808.49</v>
      </c>
      <c r="AI47" s="13">
        <f t="shared" si="22"/>
        <v>863091.51</v>
      </c>
      <c r="AJ47" s="13">
        <v>160800</v>
      </c>
      <c r="AK47" s="13">
        <v>27045.23</v>
      </c>
      <c r="AL47" s="13">
        <f t="shared" si="11"/>
        <v>133754.76999999999</v>
      </c>
      <c r="AM47" s="13">
        <v>1500000</v>
      </c>
      <c r="AN47" s="13">
        <v>0</v>
      </c>
      <c r="AO47" s="13">
        <f t="shared" si="23"/>
        <v>1500000</v>
      </c>
      <c r="AP47" s="13">
        <v>368000</v>
      </c>
      <c r="AQ47" s="13">
        <v>0</v>
      </c>
      <c r="AR47" s="13">
        <f t="shared" si="24"/>
        <v>368000</v>
      </c>
      <c r="AS47" s="13">
        <v>37000</v>
      </c>
      <c r="AT47" s="13">
        <v>31600</v>
      </c>
      <c r="AU47" s="13">
        <f t="shared" si="12"/>
        <v>5400</v>
      </c>
      <c r="AV47" s="13">
        <v>0</v>
      </c>
      <c r="AW47" s="13">
        <v>0</v>
      </c>
      <c r="AX47" s="13">
        <f t="shared" si="20"/>
        <v>0</v>
      </c>
      <c r="AY47" s="2">
        <f t="shared" si="13"/>
        <v>4058700</v>
      </c>
      <c r="AZ47" s="2">
        <f t="shared" si="13"/>
        <v>530613.72</v>
      </c>
      <c r="BA47" s="2">
        <f t="shared" si="2"/>
        <v>3154686.2800000003</v>
      </c>
      <c r="BB47" s="13">
        <v>4265600</v>
      </c>
      <c r="BC47" s="13">
        <v>0</v>
      </c>
      <c r="BD47" s="13">
        <f t="shared" si="14"/>
        <v>4265600</v>
      </c>
      <c r="BE47" s="2">
        <f t="shared" si="27"/>
        <v>10777995</v>
      </c>
      <c r="BF47" s="2">
        <f t="shared" si="26"/>
        <v>1352854.2</v>
      </c>
      <c r="BG47" s="2">
        <f t="shared" si="15"/>
        <v>9425140.8000000007</v>
      </c>
      <c r="BH47" s="13">
        <v>1167000</v>
      </c>
      <c r="BI47" s="13"/>
      <c r="BJ47" s="13">
        <f t="shared" si="21"/>
        <v>1167000</v>
      </c>
    </row>
    <row r="48" spans="1:62" x14ac:dyDescent="0.55000000000000004">
      <c r="A48" s="11">
        <v>40</v>
      </c>
      <c r="B48" s="12" t="s">
        <v>44</v>
      </c>
      <c r="C48" s="19">
        <v>549060</v>
      </c>
      <c r="D48" s="19">
        <v>274530</v>
      </c>
      <c r="E48" s="21">
        <f t="shared" si="4"/>
        <v>274530</v>
      </c>
      <c r="F48" s="13">
        <f t="shared" si="25"/>
        <v>200000</v>
      </c>
      <c r="G48" s="13">
        <v>44791</v>
      </c>
      <c r="H48" s="13">
        <f t="shared" si="5"/>
        <v>155209</v>
      </c>
      <c r="I48" s="13">
        <f>18000</f>
        <v>18000</v>
      </c>
      <c r="J48" s="13">
        <v>9000</v>
      </c>
      <c r="K48" s="13">
        <f t="shared" si="6"/>
        <v>9000</v>
      </c>
      <c r="L48" s="13">
        <f>75000+60000+696180+27000</f>
        <v>858180</v>
      </c>
      <c r="M48" s="13">
        <v>187660.55</v>
      </c>
      <c r="N48" s="13">
        <f t="shared" si="7"/>
        <v>670519.44999999995</v>
      </c>
      <c r="O48" s="2">
        <f t="shared" si="16"/>
        <v>1076180</v>
      </c>
      <c r="P48" s="2">
        <f t="shared" si="0"/>
        <v>241451.55</v>
      </c>
      <c r="Q48" s="2">
        <f t="shared" si="8"/>
        <v>834728.45</v>
      </c>
      <c r="R48" s="13">
        <v>20000</v>
      </c>
      <c r="S48" s="13">
        <v>0</v>
      </c>
      <c r="T48" s="13">
        <f t="shared" si="17"/>
        <v>20000</v>
      </c>
      <c r="U48" s="13">
        <f>210000+174370</f>
        <v>384370</v>
      </c>
      <c r="V48" s="13">
        <v>210000</v>
      </c>
      <c r="W48" s="13">
        <f t="shared" si="18"/>
        <v>174370</v>
      </c>
      <c r="X48" s="13">
        <v>0</v>
      </c>
      <c r="Y48" s="13">
        <v>0</v>
      </c>
      <c r="Z48" s="13">
        <f t="shared" si="9"/>
        <v>0</v>
      </c>
      <c r="AA48" s="13">
        <v>90000</v>
      </c>
      <c r="AB48" s="13">
        <v>59421</v>
      </c>
      <c r="AC48" s="13">
        <f t="shared" si="19"/>
        <v>30579</v>
      </c>
      <c r="AD48" s="13">
        <v>470500</v>
      </c>
      <c r="AE48" s="13">
        <v>0</v>
      </c>
      <c r="AF48" s="13">
        <f t="shared" si="10"/>
        <v>470500</v>
      </c>
      <c r="AG48" s="13">
        <v>1012900</v>
      </c>
      <c r="AH48" s="13">
        <v>167044.92000000001</v>
      </c>
      <c r="AI48" s="13">
        <f t="shared" si="22"/>
        <v>845855.08</v>
      </c>
      <c r="AJ48" s="13">
        <v>136800</v>
      </c>
      <c r="AK48" s="13">
        <v>30000</v>
      </c>
      <c r="AL48" s="13">
        <f t="shared" si="11"/>
        <v>106800</v>
      </c>
      <c r="AM48" s="13">
        <v>1500000</v>
      </c>
      <c r="AN48" s="13">
        <v>0</v>
      </c>
      <c r="AO48" s="13">
        <f t="shared" si="23"/>
        <v>1500000</v>
      </c>
      <c r="AP48" s="13">
        <v>368000</v>
      </c>
      <c r="AQ48" s="13">
        <v>0</v>
      </c>
      <c r="AR48" s="13">
        <f t="shared" si="24"/>
        <v>368000</v>
      </c>
      <c r="AS48" s="13">
        <v>37000</v>
      </c>
      <c r="AT48" s="13">
        <v>37000</v>
      </c>
      <c r="AU48" s="13">
        <f t="shared" si="12"/>
        <v>0</v>
      </c>
      <c r="AV48" s="13">
        <v>0</v>
      </c>
      <c r="AW48" s="13">
        <v>0</v>
      </c>
      <c r="AX48" s="13">
        <f t="shared" si="20"/>
        <v>0</v>
      </c>
      <c r="AY48" s="2">
        <f t="shared" si="13"/>
        <v>3999570</v>
      </c>
      <c r="AZ48" s="2">
        <f t="shared" si="13"/>
        <v>503465.92000000004</v>
      </c>
      <c r="BA48" s="2">
        <f t="shared" si="2"/>
        <v>3128104.08</v>
      </c>
      <c r="BB48" s="13">
        <v>0</v>
      </c>
      <c r="BC48" s="13">
        <v>0</v>
      </c>
      <c r="BD48" s="13">
        <f t="shared" si="14"/>
        <v>0</v>
      </c>
      <c r="BE48" s="2">
        <f t="shared" si="27"/>
        <v>5644810</v>
      </c>
      <c r="BF48" s="2">
        <f t="shared" si="26"/>
        <v>1019447.47</v>
      </c>
      <c r="BG48" s="2">
        <f t="shared" si="15"/>
        <v>4625362.53</v>
      </c>
      <c r="BH48" s="13">
        <v>811000</v>
      </c>
      <c r="BI48" s="13"/>
      <c r="BJ48" s="13">
        <f t="shared" si="21"/>
        <v>811000</v>
      </c>
    </row>
    <row r="49" spans="1:62" x14ac:dyDescent="0.55000000000000004">
      <c r="A49" s="11">
        <v>41</v>
      </c>
      <c r="B49" s="12" t="s">
        <v>45</v>
      </c>
      <c r="C49" s="19">
        <v>422160</v>
      </c>
      <c r="D49" s="19">
        <v>211080</v>
      </c>
      <c r="E49" s="21">
        <f t="shared" si="4"/>
        <v>211080</v>
      </c>
      <c r="F49" s="13">
        <f t="shared" si="25"/>
        <v>200000</v>
      </c>
      <c r="G49" s="13">
        <v>148401.51</v>
      </c>
      <c r="H49" s="13">
        <f t="shared" si="5"/>
        <v>51598.489999999991</v>
      </c>
      <c r="I49" s="13">
        <f>285000+13500</f>
        <v>298500</v>
      </c>
      <c r="J49" s="13">
        <f>142500+6750</f>
        <v>149250</v>
      </c>
      <c r="K49" s="13">
        <f t="shared" si="6"/>
        <v>149250</v>
      </c>
      <c r="L49" s="13">
        <f>123000+58850+1152000+21256+20000+30500+131931</f>
        <v>1537537</v>
      </c>
      <c r="M49" s="13">
        <v>323499.65999999997</v>
      </c>
      <c r="N49" s="13">
        <f t="shared" si="7"/>
        <v>1214037.3400000001</v>
      </c>
      <c r="O49" s="2">
        <f t="shared" si="16"/>
        <v>2036037</v>
      </c>
      <c r="P49" s="2">
        <f t="shared" si="0"/>
        <v>621151.16999999993</v>
      </c>
      <c r="Q49" s="2">
        <f t="shared" si="8"/>
        <v>1414885.83</v>
      </c>
      <c r="R49" s="13">
        <v>20000</v>
      </c>
      <c r="S49" s="13">
        <v>0</v>
      </c>
      <c r="T49" s="13">
        <f t="shared" si="17"/>
        <v>20000</v>
      </c>
      <c r="U49" s="13">
        <v>190000</v>
      </c>
      <c r="V49" s="13">
        <v>150000</v>
      </c>
      <c r="W49" s="13">
        <f t="shared" si="18"/>
        <v>40000</v>
      </c>
      <c r="X49" s="13">
        <v>0</v>
      </c>
      <c r="Y49" s="13">
        <v>0</v>
      </c>
      <c r="Z49" s="13">
        <f t="shared" si="9"/>
        <v>0</v>
      </c>
      <c r="AA49" s="13">
        <v>90000</v>
      </c>
      <c r="AB49" s="13">
        <v>27535</v>
      </c>
      <c r="AC49" s="13">
        <f t="shared" si="19"/>
        <v>62465</v>
      </c>
      <c r="AD49" s="13">
        <v>686900</v>
      </c>
      <c r="AE49" s="13">
        <v>120800</v>
      </c>
      <c r="AF49" s="13">
        <f t="shared" si="10"/>
        <v>566100</v>
      </c>
      <c r="AG49" s="13">
        <v>1012900</v>
      </c>
      <c r="AH49" s="13">
        <v>170468.36</v>
      </c>
      <c r="AI49" s="13">
        <f t="shared" si="22"/>
        <v>842431.64</v>
      </c>
      <c r="AJ49" s="13">
        <v>130800</v>
      </c>
      <c r="AK49" s="13">
        <v>10000</v>
      </c>
      <c r="AL49" s="13">
        <f t="shared" si="11"/>
        <v>120800</v>
      </c>
      <c r="AM49" s="13">
        <v>1500000</v>
      </c>
      <c r="AN49" s="13">
        <v>0</v>
      </c>
      <c r="AO49" s="13">
        <f t="shared" si="23"/>
        <v>1500000</v>
      </c>
      <c r="AP49" s="13">
        <v>432000</v>
      </c>
      <c r="AQ49" s="13">
        <v>0</v>
      </c>
      <c r="AR49" s="13">
        <f t="shared" si="24"/>
        <v>432000</v>
      </c>
      <c r="AS49" s="13">
        <v>37000</v>
      </c>
      <c r="AT49" s="13">
        <v>37000</v>
      </c>
      <c r="AU49" s="13">
        <f t="shared" si="12"/>
        <v>0</v>
      </c>
      <c r="AV49" s="13">
        <v>0</v>
      </c>
      <c r="AW49" s="13">
        <v>0</v>
      </c>
      <c r="AX49" s="13">
        <f t="shared" si="20"/>
        <v>0</v>
      </c>
      <c r="AY49" s="2">
        <f t="shared" si="13"/>
        <v>4079600</v>
      </c>
      <c r="AZ49" s="2">
        <f t="shared" si="13"/>
        <v>515803.36</v>
      </c>
      <c r="BA49" s="2">
        <f t="shared" si="2"/>
        <v>3131796.64</v>
      </c>
      <c r="BB49" s="13">
        <v>7373800</v>
      </c>
      <c r="BC49" s="13">
        <v>0</v>
      </c>
      <c r="BD49" s="13">
        <f t="shared" si="14"/>
        <v>7373800</v>
      </c>
      <c r="BE49" s="2">
        <f t="shared" si="27"/>
        <v>13931597</v>
      </c>
      <c r="BF49" s="2">
        <f t="shared" si="26"/>
        <v>1348034.5299999998</v>
      </c>
      <c r="BG49" s="2">
        <f t="shared" si="15"/>
        <v>12583562.470000001</v>
      </c>
      <c r="BH49" s="13">
        <v>722000</v>
      </c>
      <c r="BI49" s="13"/>
      <c r="BJ49" s="13">
        <f t="shared" si="21"/>
        <v>722000</v>
      </c>
    </row>
    <row r="50" spans="1:62" x14ac:dyDescent="0.55000000000000004">
      <c r="A50" s="11">
        <v>42</v>
      </c>
      <c r="B50" s="12" t="s">
        <v>46</v>
      </c>
      <c r="C50" s="19">
        <f>415080</f>
        <v>415080</v>
      </c>
      <c r="D50" s="19">
        <v>185660</v>
      </c>
      <c r="E50" s="21">
        <f t="shared" si="4"/>
        <v>229420</v>
      </c>
      <c r="F50" s="13">
        <f t="shared" si="25"/>
        <v>200000</v>
      </c>
      <c r="G50" s="13">
        <v>38370</v>
      </c>
      <c r="H50" s="13">
        <f t="shared" si="5"/>
        <v>161630</v>
      </c>
      <c r="I50" s="13">
        <f>13500+285000</f>
        <v>298500</v>
      </c>
      <c r="J50" s="13">
        <f>142500+6000</f>
        <v>148500</v>
      </c>
      <c r="K50" s="13">
        <f t="shared" si="6"/>
        <v>150000</v>
      </c>
      <c r="L50" s="13">
        <f>258000+128400+960000+5000</f>
        <v>1351400</v>
      </c>
      <c r="M50" s="13">
        <v>160000</v>
      </c>
      <c r="N50" s="13">
        <f t="shared" si="7"/>
        <v>1191400</v>
      </c>
      <c r="O50" s="2">
        <f t="shared" si="16"/>
        <v>1849900</v>
      </c>
      <c r="P50" s="2">
        <f t="shared" si="0"/>
        <v>346870</v>
      </c>
      <c r="Q50" s="2">
        <f t="shared" si="8"/>
        <v>1503030</v>
      </c>
      <c r="R50" s="13">
        <v>20000</v>
      </c>
      <c r="S50" s="13">
        <v>20000</v>
      </c>
      <c r="T50" s="13">
        <f t="shared" si="17"/>
        <v>0</v>
      </c>
      <c r="U50" s="13">
        <v>330000</v>
      </c>
      <c r="V50" s="13">
        <v>330000</v>
      </c>
      <c r="W50" s="13">
        <f t="shared" si="18"/>
        <v>0</v>
      </c>
      <c r="X50" s="13">
        <v>0</v>
      </c>
      <c r="Y50" s="13">
        <v>0</v>
      </c>
      <c r="Z50" s="13">
        <f t="shared" si="9"/>
        <v>0</v>
      </c>
      <c r="AA50" s="13">
        <v>90000</v>
      </c>
      <c r="AB50" s="13">
        <v>15000</v>
      </c>
      <c r="AC50" s="13">
        <f t="shared" si="19"/>
        <v>75000</v>
      </c>
      <c r="AD50" s="13">
        <v>296800</v>
      </c>
      <c r="AE50" s="13">
        <v>0</v>
      </c>
      <c r="AF50" s="13">
        <f t="shared" si="10"/>
        <v>296800</v>
      </c>
      <c r="AG50" s="13">
        <v>1012900</v>
      </c>
      <c r="AH50" s="13">
        <v>224233.69</v>
      </c>
      <c r="AI50" s="13">
        <f t="shared" si="22"/>
        <v>788666.31</v>
      </c>
      <c r="AJ50" s="13">
        <v>172800</v>
      </c>
      <c r="AK50" s="13">
        <v>19268.080000000002</v>
      </c>
      <c r="AL50" s="13">
        <f t="shared" si="11"/>
        <v>153531.91999999998</v>
      </c>
      <c r="AM50" s="13">
        <v>1500000</v>
      </c>
      <c r="AN50" s="13">
        <v>0</v>
      </c>
      <c r="AO50" s="13">
        <f t="shared" si="23"/>
        <v>1500000</v>
      </c>
      <c r="AP50" s="13">
        <v>368000</v>
      </c>
      <c r="AQ50" s="13">
        <v>355500</v>
      </c>
      <c r="AR50" s="13">
        <f t="shared" si="24"/>
        <v>12500</v>
      </c>
      <c r="AS50" s="13">
        <v>37000</v>
      </c>
      <c r="AT50" s="13">
        <v>37000</v>
      </c>
      <c r="AU50" s="13">
        <f t="shared" si="12"/>
        <v>0</v>
      </c>
      <c r="AV50" s="13">
        <v>0</v>
      </c>
      <c r="AW50" s="13">
        <v>0</v>
      </c>
      <c r="AX50" s="13">
        <f t="shared" si="20"/>
        <v>0</v>
      </c>
      <c r="AY50" s="2">
        <f t="shared" si="13"/>
        <v>3807500</v>
      </c>
      <c r="AZ50" s="2">
        <f t="shared" si="13"/>
        <v>981001.7699999999</v>
      </c>
      <c r="BA50" s="2">
        <f t="shared" si="2"/>
        <v>2813998.23</v>
      </c>
      <c r="BB50" s="13">
        <v>1194500</v>
      </c>
      <c r="BC50" s="13">
        <v>0</v>
      </c>
      <c r="BD50" s="13">
        <f t="shared" si="14"/>
        <v>1194500</v>
      </c>
      <c r="BE50" s="2">
        <f t="shared" si="27"/>
        <v>7286980</v>
      </c>
      <c r="BF50" s="2">
        <f t="shared" si="26"/>
        <v>1533531.77</v>
      </c>
      <c r="BG50" s="2">
        <f t="shared" si="15"/>
        <v>5753448.2300000004</v>
      </c>
      <c r="BH50" s="13">
        <v>1345000</v>
      </c>
      <c r="BI50" s="13"/>
      <c r="BJ50" s="13">
        <f t="shared" si="21"/>
        <v>1345000</v>
      </c>
    </row>
    <row r="51" spans="1:62" x14ac:dyDescent="0.55000000000000004">
      <c r="A51" s="11">
        <v>43</v>
      </c>
      <c r="B51" s="12" t="s">
        <v>47</v>
      </c>
      <c r="C51" s="19">
        <v>541620</v>
      </c>
      <c r="D51" s="19">
        <v>270810</v>
      </c>
      <c r="E51" s="21">
        <f t="shared" si="4"/>
        <v>270810</v>
      </c>
      <c r="F51" s="13">
        <f t="shared" si="25"/>
        <v>200000</v>
      </c>
      <c r="G51" s="13">
        <v>91835.08</v>
      </c>
      <c r="H51" s="13">
        <f t="shared" si="5"/>
        <v>108164.92</v>
      </c>
      <c r="I51" s="13">
        <f>150000+18000</f>
        <v>168000</v>
      </c>
      <c r="J51" s="13">
        <f>73500+12000</f>
        <v>85500</v>
      </c>
      <c r="K51" s="13">
        <f t="shared" si="6"/>
        <v>82500</v>
      </c>
      <c r="L51" s="13">
        <f>144000+43656+1017000+50000+939460</f>
        <v>2194116</v>
      </c>
      <c r="M51" s="13">
        <v>325005.81</v>
      </c>
      <c r="N51" s="13">
        <f t="shared" si="7"/>
        <v>1869110.19</v>
      </c>
      <c r="O51" s="2">
        <f t="shared" si="16"/>
        <v>2562116</v>
      </c>
      <c r="P51" s="2">
        <f t="shared" si="0"/>
        <v>502340.89</v>
      </c>
      <c r="Q51" s="2">
        <f t="shared" si="8"/>
        <v>2059775.1099999999</v>
      </c>
      <c r="R51" s="13">
        <v>20000</v>
      </c>
      <c r="S51" s="13">
        <v>0</v>
      </c>
      <c r="T51" s="13">
        <f t="shared" si="17"/>
        <v>20000</v>
      </c>
      <c r="U51" s="13">
        <v>210000</v>
      </c>
      <c r="V51" s="13">
        <v>185000</v>
      </c>
      <c r="W51" s="13">
        <f t="shared" si="18"/>
        <v>25000</v>
      </c>
      <c r="X51" s="13">
        <v>0</v>
      </c>
      <c r="Y51" s="13">
        <v>0</v>
      </c>
      <c r="Z51" s="13">
        <f t="shared" si="9"/>
        <v>0</v>
      </c>
      <c r="AA51" s="13">
        <v>90000</v>
      </c>
      <c r="AB51" s="13">
        <v>26820</v>
      </c>
      <c r="AC51" s="13">
        <f t="shared" si="19"/>
        <v>63180</v>
      </c>
      <c r="AD51" s="13">
        <v>523000</v>
      </c>
      <c r="AE51" s="13">
        <v>0</v>
      </c>
      <c r="AF51" s="13">
        <f t="shared" si="10"/>
        <v>523000</v>
      </c>
      <c r="AG51" s="13">
        <v>1012900</v>
      </c>
      <c r="AH51" s="13">
        <v>219451.75</v>
      </c>
      <c r="AI51" s="13">
        <f t="shared" si="22"/>
        <v>793448.25</v>
      </c>
      <c r="AJ51" s="13">
        <v>136800</v>
      </c>
      <c r="AK51" s="13">
        <v>52030</v>
      </c>
      <c r="AL51" s="13">
        <f t="shared" si="11"/>
        <v>84770</v>
      </c>
      <c r="AM51" s="13">
        <v>1500000</v>
      </c>
      <c r="AN51" s="13">
        <v>0</v>
      </c>
      <c r="AO51" s="13">
        <f t="shared" si="23"/>
        <v>1500000</v>
      </c>
      <c r="AP51" s="13">
        <v>432000</v>
      </c>
      <c r="AQ51" s="13">
        <v>0</v>
      </c>
      <c r="AR51" s="13">
        <f t="shared" si="24"/>
        <v>432000</v>
      </c>
      <c r="AS51" s="13">
        <v>37000</v>
      </c>
      <c r="AT51" s="13">
        <v>37000</v>
      </c>
      <c r="AU51" s="13">
        <f t="shared" si="12"/>
        <v>0</v>
      </c>
      <c r="AV51" s="13">
        <v>0</v>
      </c>
      <c r="AW51" s="13">
        <v>0</v>
      </c>
      <c r="AX51" s="13">
        <f t="shared" si="20"/>
        <v>0</v>
      </c>
      <c r="AY51" s="2">
        <f t="shared" si="13"/>
        <v>3941700</v>
      </c>
      <c r="AZ51" s="2">
        <f t="shared" si="13"/>
        <v>520301.75</v>
      </c>
      <c r="BA51" s="2">
        <f t="shared" si="2"/>
        <v>2989398.25</v>
      </c>
      <c r="BB51" s="13">
        <v>667800</v>
      </c>
      <c r="BC51" s="13">
        <v>0</v>
      </c>
      <c r="BD51" s="13">
        <f t="shared" si="14"/>
        <v>667800</v>
      </c>
      <c r="BE51" s="2">
        <f t="shared" si="27"/>
        <v>7733236</v>
      </c>
      <c r="BF51" s="2">
        <f t="shared" si="26"/>
        <v>1293452.6400000001</v>
      </c>
      <c r="BG51" s="2">
        <f t="shared" si="15"/>
        <v>6439783.3599999994</v>
      </c>
      <c r="BH51" s="13">
        <v>811000</v>
      </c>
      <c r="BI51" s="13"/>
      <c r="BJ51" s="13">
        <f t="shared" si="21"/>
        <v>811000</v>
      </c>
    </row>
    <row r="52" spans="1:62" x14ac:dyDescent="0.55000000000000004">
      <c r="A52" s="11">
        <v>44</v>
      </c>
      <c r="B52" s="12" t="s">
        <v>48</v>
      </c>
      <c r="C52" s="19">
        <v>541200</v>
      </c>
      <c r="D52" s="19">
        <v>270600</v>
      </c>
      <c r="E52" s="21">
        <f t="shared" si="4"/>
        <v>270600</v>
      </c>
      <c r="F52" s="13">
        <f t="shared" si="25"/>
        <v>200000</v>
      </c>
      <c r="G52" s="13">
        <v>16616</v>
      </c>
      <c r="H52" s="13">
        <f t="shared" si="5"/>
        <v>183384</v>
      </c>
      <c r="I52" s="13">
        <f>90000+311400+18000</f>
        <v>419400</v>
      </c>
      <c r="J52" s="13">
        <f>170266.14+9000</f>
        <v>179266.14</v>
      </c>
      <c r="K52" s="13">
        <f t="shared" si="6"/>
        <v>240133.86</v>
      </c>
      <c r="L52" s="13">
        <f>210000+94160+1419100+53000+5436</f>
        <v>1781696</v>
      </c>
      <c r="M52" s="13">
        <v>267626.40999999997</v>
      </c>
      <c r="N52" s="13">
        <f t="shared" si="7"/>
        <v>1514069.59</v>
      </c>
      <c r="O52" s="2">
        <f t="shared" si="16"/>
        <v>2401096</v>
      </c>
      <c r="P52" s="2">
        <f t="shared" si="0"/>
        <v>463508.55</v>
      </c>
      <c r="Q52" s="2">
        <f t="shared" si="8"/>
        <v>1937587.45</v>
      </c>
      <c r="R52" s="13">
        <v>20000</v>
      </c>
      <c r="S52" s="13">
        <v>0</v>
      </c>
      <c r="T52" s="13">
        <f t="shared" si="17"/>
        <v>20000</v>
      </c>
      <c r="U52" s="13">
        <v>390000</v>
      </c>
      <c r="V52" s="13">
        <v>360000</v>
      </c>
      <c r="W52" s="13">
        <f t="shared" si="18"/>
        <v>30000</v>
      </c>
      <c r="X52" s="13">
        <v>500000</v>
      </c>
      <c r="Y52" s="13">
        <v>0</v>
      </c>
      <c r="Z52" s="13">
        <f t="shared" si="9"/>
        <v>500000</v>
      </c>
      <c r="AA52" s="13">
        <v>90000</v>
      </c>
      <c r="AB52" s="13"/>
      <c r="AC52" s="13">
        <f t="shared" si="19"/>
        <v>90000</v>
      </c>
      <c r="AD52" s="13">
        <v>677400</v>
      </c>
      <c r="AE52" s="13">
        <v>0</v>
      </c>
      <c r="AF52" s="13">
        <f t="shared" si="10"/>
        <v>677400</v>
      </c>
      <c r="AG52" s="13">
        <v>1012900</v>
      </c>
      <c r="AH52" s="13">
        <v>269966</v>
      </c>
      <c r="AI52" s="13">
        <f t="shared" si="22"/>
        <v>742934</v>
      </c>
      <c r="AJ52" s="13">
        <v>190800</v>
      </c>
      <c r="AK52" s="13">
        <v>23007.58</v>
      </c>
      <c r="AL52" s="13">
        <f t="shared" si="11"/>
        <v>167792.41999999998</v>
      </c>
      <c r="AM52" s="13">
        <v>1500000</v>
      </c>
      <c r="AN52" s="13">
        <v>0</v>
      </c>
      <c r="AO52" s="13">
        <f t="shared" si="23"/>
        <v>1500000</v>
      </c>
      <c r="AP52" s="13">
        <v>432000</v>
      </c>
      <c r="AQ52" s="13">
        <v>0</v>
      </c>
      <c r="AR52" s="13">
        <f t="shared" si="24"/>
        <v>432000</v>
      </c>
      <c r="AS52" s="13">
        <v>37000</v>
      </c>
      <c r="AT52" s="13">
        <v>30240</v>
      </c>
      <c r="AU52" s="13">
        <f t="shared" si="12"/>
        <v>6760</v>
      </c>
      <c r="AV52" s="13">
        <v>0</v>
      </c>
      <c r="AW52" s="13">
        <v>0</v>
      </c>
      <c r="AX52" s="13">
        <f t="shared" si="20"/>
        <v>0</v>
      </c>
      <c r="AY52" s="2">
        <f t="shared" si="13"/>
        <v>4830100</v>
      </c>
      <c r="AZ52" s="2">
        <f t="shared" si="13"/>
        <v>683213.58</v>
      </c>
      <c r="BA52" s="2">
        <f t="shared" si="2"/>
        <v>3708126.42</v>
      </c>
      <c r="BB52" s="13">
        <v>14286300</v>
      </c>
      <c r="BC52" s="13">
        <v>0</v>
      </c>
      <c r="BD52" s="13">
        <f t="shared" si="14"/>
        <v>14286300</v>
      </c>
      <c r="BE52" s="2">
        <f t="shared" si="27"/>
        <v>22078696</v>
      </c>
      <c r="BF52" s="2">
        <f t="shared" si="26"/>
        <v>1417322.13</v>
      </c>
      <c r="BG52" s="2">
        <f t="shared" si="15"/>
        <v>20661373.870000001</v>
      </c>
      <c r="BH52" s="13">
        <v>1612000</v>
      </c>
      <c r="BI52" s="13"/>
      <c r="BJ52" s="13">
        <f t="shared" si="21"/>
        <v>1612000</v>
      </c>
    </row>
    <row r="53" spans="1:62" x14ac:dyDescent="0.55000000000000004">
      <c r="A53" s="11">
        <v>45</v>
      </c>
      <c r="B53" s="12" t="s">
        <v>49</v>
      </c>
      <c r="C53" s="19">
        <v>521700</v>
      </c>
      <c r="D53" s="19">
        <v>260850</v>
      </c>
      <c r="E53" s="21">
        <f t="shared" si="4"/>
        <v>260850</v>
      </c>
      <c r="F53" s="13">
        <f t="shared" si="25"/>
        <v>200000</v>
      </c>
      <c r="G53" s="13">
        <v>155604</v>
      </c>
      <c r="H53" s="13">
        <f t="shared" si="5"/>
        <v>44396</v>
      </c>
      <c r="I53" s="13">
        <v>18000</v>
      </c>
      <c r="J53" s="13">
        <v>9000</v>
      </c>
      <c r="K53" s="13">
        <f t="shared" si="6"/>
        <v>9000</v>
      </c>
      <c r="L53" s="13">
        <f>165000+60000+819252+36795+44000</f>
        <v>1125047</v>
      </c>
      <c r="M53" s="13">
        <v>294860.90999999997</v>
      </c>
      <c r="N53" s="13">
        <f t="shared" si="7"/>
        <v>830186.09000000008</v>
      </c>
      <c r="O53" s="2">
        <f t="shared" si="16"/>
        <v>1343047</v>
      </c>
      <c r="P53" s="2">
        <f t="shared" si="0"/>
        <v>459464.91</v>
      </c>
      <c r="Q53" s="2">
        <f t="shared" si="8"/>
        <v>883582.09000000008</v>
      </c>
      <c r="R53" s="13">
        <v>20000</v>
      </c>
      <c r="S53" s="13">
        <v>0</v>
      </c>
      <c r="T53" s="13">
        <f t="shared" si="17"/>
        <v>20000</v>
      </c>
      <c r="U53" s="13">
        <f>170000+246110</f>
        <v>416110</v>
      </c>
      <c r="V53" s="13">
        <v>124338</v>
      </c>
      <c r="W53" s="13">
        <f t="shared" si="18"/>
        <v>291772</v>
      </c>
      <c r="X53" s="13">
        <v>0</v>
      </c>
      <c r="Y53" s="13">
        <v>0</v>
      </c>
      <c r="Z53" s="13">
        <f t="shared" si="9"/>
        <v>0</v>
      </c>
      <c r="AA53" s="13">
        <v>90000</v>
      </c>
      <c r="AB53" s="13"/>
      <c r="AC53" s="13">
        <f t="shared" si="19"/>
        <v>90000</v>
      </c>
      <c r="AD53" s="13">
        <v>452200</v>
      </c>
      <c r="AE53" s="13">
        <v>0</v>
      </c>
      <c r="AF53" s="13">
        <f t="shared" si="10"/>
        <v>452200</v>
      </c>
      <c r="AG53" s="13">
        <v>1012900</v>
      </c>
      <c r="AH53" s="13">
        <v>139136</v>
      </c>
      <c r="AI53" s="13">
        <f t="shared" si="22"/>
        <v>873764</v>
      </c>
      <c r="AJ53" s="13">
        <v>124800</v>
      </c>
      <c r="AK53" s="13">
        <v>5856</v>
      </c>
      <c r="AL53" s="13">
        <f t="shared" si="11"/>
        <v>118944</v>
      </c>
      <c r="AM53" s="13">
        <v>1500000</v>
      </c>
      <c r="AN53" s="13">
        <v>0</v>
      </c>
      <c r="AO53" s="13">
        <f t="shared" si="23"/>
        <v>1500000</v>
      </c>
      <c r="AP53" s="13">
        <v>368000</v>
      </c>
      <c r="AQ53" s="13">
        <v>0</v>
      </c>
      <c r="AR53" s="13">
        <f t="shared" si="24"/>
        <v>368000</v>
      </c>
      <c r="AS53" s="13">
        <v>37000</v>
      </c>
      <c r="AT53" s="13">
        <v>37000</v>
      </c>
      <c r="AU53" s="13">
        <f t="shared" si="12"/>
        <v>0</v>
      </c>
      <c r="AV53" s="13">
        <v>0</v>
      </c>
      <c r="AW53" s="13">
        <v>0</v>
      </c>
      <c r="AX53" s="13">
        <f t="shared" si="20"/>
        <v>0</v>
      </c>
      <c r="AY53" s="2">
        <f t="shared" si="13"/>
        <v>4001010</v>
      </c>
      <c r="AZ53" s="2">
        <f t="shared" si="13"/>
        <v>306330</v>
      </c>
      <c r="BA53" s="2">
        <f t="shared" si="2"/>
        <v>3326680</v>
      </c>
      <c r="BB53" s="13">
        <v>6908500</v>
      </c>
      <c r="BC53" s="13">
        <v>0</v>
      </c>
      <c r="BD53" s="13">
        <f t="shared" si="14"/>
        <v>6908500</v>
      </c>
      <c r="BE53" s="2">
        <f t="shared" si="27"/>
        <v>12794257</v>
      </c>
      <c r="BF53" s="2">
        <f t="shared" si="26"/>
        <v>1026644.9099999999</v>
      </c>
      <c r="BG53" s="2">
        <f t="shared" si="15"/>
        <v>11767612.09</v>
      </c>
      <c r="BH53" s="13">
        <v>633000</v>
      </c>
      <c r="BI53" s="13"/>
      <c r="BJ53" s="13">
        <f t="shared" si="21"/>
        <v>633000</v>
      </c>
    </row>
    <row r="54" spans="1:62" x14ac:dyDescent="0.55000000000000004">
      <c r="A54" s="11">
        <v>46</v>
      </c>
      <c r="B54" s="12" t="s">
        <v>50</v>
      </c>
      <c r="C54" s="19">
        <v>526560</v>
      </c>
      <c r="D54" s="19">
        <v>263280</v>
      </c>
      <c r="E54" s="21">
        <f t="shared" si="4"/>
        <v>263280</v>
      </c>
      <c r="F54" s="13">
        <f t="shared" si="25"/>
        <v>200000</v>
      </c>
      <c r="G54" s="13">
        <v>151590.66</v>
      </c>
      <c r="H54" s="13">
        <f t="shared" si="5"/>
        <v>48409.34</v>
      </c>
      <c r="I54" s="13">
        <f>36000+180000+36000+18000</f>
        <v>270000</v>
      </c>
      <c r="J54" s="13">
        <f>20000+96000</f>
        <v>116000</v>
      </c>
      <c r="K54" s="13">
        <f t="shared" si="6"/>
        <v>154000</v>
      </c>
      <c r="L54" s="13">
        <f>186000+38520+929904+426000+120000+219000+24066</f>
        <v>1943490</v>
      </c>
      <c r="M54" s="13">
        <v>646624.96</v>
      </c>
      <c r="N54" s="13">
        <f t="shared" si="7"/>
        <v>1296865.04</v>
      </c>
      <c r="O54" s="2">
        <f t="shared" si="16"/>
        <v>2413490</v>
      </c>
      <c r="P54" s="2">
        <f t="shared" si="0"/>
        <v>914215.62</v>
      </c>
      <c r="Q54" s="2">
        <f t="shared" si="8"/>
        <v>1499274.38</v>
      </c>
      <c r="R54" s="13">
        <v>20000</v>
      </c>
      <c r="S54" s="13">
        <v>20000</v>
      </c>
      <c r="T54" s="13">
        <f t="shared" si="17"/>
        <v>0</v>
      </c>
      <c r="U54" s="13">
        <v>330000</v>
      </c>
      <c r="V54" s="13">
        <v>329906</v>
      </c>
      <c r="W54" s="13">
        <f t="shared" si="18"/>
        <v>94</v>
      </c>
      <c r="X54" s="13">
        <v>0</v>
      </c>
      <c r="Y54" s="13">
        <v>0</v>
      </c>
      <c r="Z54" s="13">
        <f t="shared" si="9"/>
        <v>0</v>
      </c>
      <c r="AA54" s="13">
        <v>90000</v>
      </c>
      <c r="AB54" s="13">
        <v>50000</v>
      </c>
      <c r="AC54" s="13">
        <f t="shared" si="19"/>
        <v>40000</v>
      </c>
      <c r="AD54" s="13">
        <v>816030</v>
      </c>
      <c r="AE54" s="13">
        <v>338600</v>
      </c>
      <c r="AF54" s="13">
        <f t="shared" si="10"/>
        <v>477430</v>
      </c>
      <c r="AG54" s="13">
        <v>1012900</v>
      </c>
      <c r="AH54" s="13">
        <v>213063.1</v>
      </c>
      <c r="AI54" s="13">
        <f t="shared" si="22"/>
        <v>799836.9</v>
      </c>
      <c r="AJ54" s="13">
        <v>172800</v>
      </c>
      <c r="AK54" s="13">
        <v>3664</v>
      </c>
      <c r="AL54" s="13">
        <f t="shared" si="11"/>
        <v>169136</v>
      </c>
      <c r="AM54" s="13">
        <v>1500000</v>
      </c>
      <c r="AN54" s="13">
        <v>0</v>
      </c>
      <c r="AO54" s="13">
        <f t="shared" si="23"/>
        <v>1500000</v>
      </c>
      <c r="AP54" s="13">
        <v>368000</v>
      </c>
      <c r="AQ54" s="13">
        <v>0</v>
      </c>
      <c r="AR54" s="13">
        <f t="shared" si="24"/>
        <v>368000</v>
      </c>
      <c r="AS54" s="13">
        <v>37000</v>
      </c>
      <c r="AT54" s="13">
        <v>37000</v>
      </c>
      <c r="AU54" s="13">
        <f t="shared" si="12"/>
        <v>0</v>
      </c>
      <c r="AV54" s="13">
        <v>0</v>
      </c>
      <c r="AW54" s="13">
        <v>0</v>
      </c>
      <c r="AX54" s="13">
        <f t="shared" si="20"/>
        <v>0</v>
      </c>
      <c r="AY54" s="2">
        <f t="shared" si="13"/>
        <v>4326730</v>
      </c>
      <c r="AZ54" s="2">
        <f t="shared" si="13"/>
        <v>972233.1</v>
      </c>
      <c r="BA54" s="2">
        <f t="shared" si="2"/>
        <v>2986496.9</v>
      </c>
      <c r="BB54" s="13">
        <v>940100</v>
      </c>
      <c r="BC54" s="13">
        <v>0</v>
      </c>
      <c r="BD54" s="13">
        <f t="shared" si="14"/>
        <v>940100</v>
      </c>
      <c r="BE54" s="2">
        <f t="shared" si="27"/>
        <v>8226880</v>
      </c>
      <c r="BF54" s="2">
        <f t="shared" si="26"/>
        <v>2169728.7199999997</v>
      </c>
      <c r="BG54" s="2">
        <f t="shared" si="15"/>
        <v>6057151.2800000003</v>
      </c>
      <c r="BH54" s="13">
        <v>1345000</v>
      </c>
      <c r="BI54" s="13"/>
      <c r="BJ54" s="13">
        <f t="shared" si="21"/>
        <v>1345000</v>
      </c>
    </row>
    <row r="55" spans="1:62" x14ac:dyDescent="0.55000000000000004">
      <c r="A55" s="11">
        <v>47</v>
      </c>
      <c r="B55" s="12" t="s">
        <v>51</v>
      </c>
      <c r="C55" s="19">
        <v>284040</v>
      </c>
      <c r="D55" s="19">
        <v>142020</v>
      </c>
      <c r="E55" s="21">
        <f t="shared" si="4"/>
        <v>142020</v>
      </c>
      <c r="F55" s="13">
        <f t="shared" si="25"/>
        <v>200000</v>
      </c>
      <c r="G55" s="13">
        <v>59931</v>
      </c>
      <c r="H55" s="13">
        <f t="shared" si="5"/>
        <v>140069</v>
      </c>
      <c r="I55" s="13">
        <f>224400+9000</f>
        <v>233400</v>
      </c>
      <c r="J55" s="13">
        <v>78300</v>
      </c>
      <c r="K55" s="13">
        <f t="shared" si="6"/>
        <v>155100</v>
      </c>
      <c r="L55" s="13">
        <f>117000+59920+868800+46000</f>
        <v>1091720</v>
      </c>
      <c r="M55" s="13"/>
      <c r="N55" s="13">
        <f t="shared" si="7"/>
        <v>1091720</v>
      </c>
      <c r="O55" s="2">
        <f t="shared" si="16"/>
        <v>1525120</v>
      </c>
      <c r="P55" s="2">
        <f t="shared" si="0"/>
        <v>138231</v>
      </c>
      <c r="Q55" s="2">
        <f t="shared" si="8"/>
        <v>1386889</v>
      </c>
      <c r="R55" s="13">
        <v>20000</v>
      </c>
      <c r="S55" s="13">
        <v>0</v>
      </c>
      <c r="T55" s="13">
        <f t="shared" si="17"/>
        <v>20000</v>
      </c>
      <c r="U55" s="13">
        <v>190000</v>
      </c>
      <c r="V55" s="13">
        <v>190000</v>
      </c>
      <c r="W55" s="13">
        <f t="shared" si="18"/>
        <v>0</v>
      </c>
      <c r="X55" s="13">
        <v>0</v>
      </c>
      <c r="Y55" s="13">
        <v>0</v>
      </c>
      <c r="Z55" s="13">
        <f t="shared" si="9"/>
        <v>0</v>
      </c>
      <c r="AA55" s="13">
        <v>90000</v>
      </c>
      <c r="AB55" s="13">
        <v>40000</v>
      </c>
      <c r="AC55" s="13">
        <f t="shared" si="19"/>
        <v>50000</v>
      </c>
      <c r="AD55" s="13">
        <v>486390</v>
      </c>
      <c r="AE55" s="13">
        <v>303950</v>
      </c>
      <c r="AF55" s="13">
        <f t="shared" si="10"/>
        <v>182440</v>
      </c>
      <c r="AG55" s="13">
        <v>1012900</v>
      </c>
      <c r="AH55" s="13">
        <v>215710.02</v>
      </c>
      <c r="AI55" s="13">
        <f t="shared" si="22"/>
        <v>797189.98</v>
      </c>
      <c r="AJ55" s="13">
        <v>130800</v>
      </c>
      <c r="AK55" s="13">
        <v>3519.09</v>
      </c>
      <c r="AL55" s="13">
        <f t="shared" si="11"/>
        <v>127280.91</v>
      </c>
      <c r="AM55" s="13">
        <v>1500000</v>
      </c>
      <c r="AN55" s="13">
        <v>371000</v>
      </c>
      <c r="AO55" s="13">
        <f t="shared" si="23"/>
        <v>1129000</v>
      </c>
      <c r="AP55" s="13">
        <v>368000</v>
      </c>
      <c r="AQ55" s="13">
        <v>0</v>
      </c>
      <c r="AR55" s="13">
        <f t="shared" si="24"/>
        <v>368000</v>
      </c>
      <c r="AS55" s="13">
        <v>37000</v>
      </c>
      <c r="AT55" s="13">
        <v>37000</v>
      </c>
      <c r="AU55" s="13">
        <f t="shared" si="12"/>
        <v>0</v>
      </c>
      <c r="AV55" s="13">
        <v>0</v>
      </c>
      <c r="AW55" s="13">
        <v>0</v>
      </c>
      <c r="AX55" s="13">
        <f t="shared" si="20"/>
        <v>0</v>
      </c>
      <c r="AY55" s="2">
        <f t="shared" si="13"/>
        <v>3815090</v>
      </c>
      <c r="AZ55" s="2">
        <f t="shared" si="13"/>
        <v>1161179.1099999999</v>
      </c>
      <c r="BA55" s="2">
        <f t="shared" si="2"/>
        <v>2285910.8899999997</v>
      </c>
      <c r="BB55" s="13">
        <v>10341700</v>
      </c>
      <c r="BC55" s="13">
        <v>0</v>
      </c>
      <c r="BD55" s="13">
        <f t="shared" si="14"/>
        <v>10341700</v>
      </c>
      <c r="BE55" s="2">
        <f t="shared" si="27"/>
        <v>15985950</v>
      </c>
      <c r="BF55" s="2">
        <f t="shared" si="26"/>
        <v>1441430.1099999999</v>
      </c>
      <c r="BG55" s="2">
        <f t="shared" si="15"/>
        <v>14544519.890000001</v>
      </c>
      <c r="BH55" s="13">
        <v>722000</v>
      </c>
      <c r="BI55" s="13"/>
      <c r="BJ55" s="13">
        <f t="shared" si="21"/>
        <v>722000</v>
      </c>
    </row>
    <row r="56" spans="1:62" x14ac:dyDescent="0.55000000000000004">
      <c r="A56" s="11">
        <v>48</v>
      </c>
      <c r="B56" s="12" t="s">
        <v>52</v>
      </c>
      <c r="C56" s="19">
        <v>400620</v>
      </c>
      <c r="D56" s="19">
        <v>274560</v>
      </c>
      <c r="E56" s="21">
        <f t="shared" si="4"/>
        <v>126060</v>
      </c>
      <c r="F56" s="13">
        <f t="shared" si="25"/>
        <v>200000</v>
      </c>
      <c r="G56" s="13">
        <v>193468</v>
      </c>
      <c r="H56" s="13">
        <f t="shared" si="5"/>
        <v>6532</v>
      </c>
      <c r="I56" s="13">
        <f>135000+13500</f>
        <v>148500</v>
      </c>
      <c r="J56" s="13">
        <f>74250</f>
        <v>74250</v>
      </c>
      <c r="K56" s="13">
        <f t="shared" si="6"/>
        <v>74250</v>
      </c>
      <c r="L56" s="13">
        <f>198000+96000+1976400+34000</f>
        <v>2304400</v>
      </c>
      <c r="M56" s="13">
        <v>500631.4</v>
      </c>
      <c r="N56" s="13">
        <f t="shared" si="7"/>
        <v>1803768.6</v>
      </c>
      <c r="O56" s="2">
        <f t="shared" si="16"/>
        <v>2652900</v>
      </c>
      <c r="P56" s="2">
        <f t="shared" si="0"/>
        <v>768349.4</v>
      </c>
      <c r="Q56" s="2">
        <f t="shared" si="8"/>
        <v>1884550.6</v>
      </c>
      <c r="R56" s="13">
        <v>20000</v>
      </c>
      <c r="S56" s="13">
        <v>0</v>
      </c>
      <c r="T56" s="13">
        <f t="shared" si="17"/>
        <v>20000</v>
      </c>
      <c r="U56" s="13">
        <f>250000+250000</f>
        <v>500000</v>
      </c>
      <c r="V56" s="13">
        <v>249995</v>
      </c>
      <c r="W56" s="13">
        <f t="shared" si="18"/>
        <v>250005</v>
      </c>
      <c r="X56" s="13">
        <v>0</v>
      </c>
      <c r="Y56" s="13">
        <v>0</v>
      </c>
      <c r="Z56" s="13">
        <f t="shared" si="9"/>
        <v>0</v>
      </c>
      <c r="AA56" s="13">
        <v>90000</v>
      </c>
      <c r="AB56" s="13">
        <v>50000</v>
      </c>
      <c r="AC56" s="13">
        <f t="shared" si="19"/>
        <v>40000</v>
      </c>
      <c r="AD56" s="13">
        <v>500000</v>
      </c>
      <c r="AE56" s="13">
        <v>0</v>
      </c>
      <c r="AF56" s="13">
        <f t="shared" si="10"/>
        <v>500000</v>
      </c>
      <c r="AG56" s="13">
        <v>1012900</v>
      </c>
      <c r="AH56" s="13">
        <v>206950</v>
      </c>
      <c r="AI56" s="13">
        <f t="shared" si="22"/>
        <v>805950</v>
      </c>
      <c r="AJ56" s="13">
        <v>148800</v>
      </c>
      <c r="AK56" s="13">
        <v>8984.0499999999993</v>
      </c>
      <c r="AL56" s="13">
        <f t="shared" si="11"/>
        <v>139815.95000000001</v>
      </c>
      <c r="AM56" s="13">
        <v>1500000</v>
      </c>
      <c r="AN56" s="13">
        <v>0</v>
      </c>
      <c r="AO56" s="13">
        <f t="shared" si="23"/>
        <v>1500000</v>
      </c>
      <c r="AP56" s="13">
        <v>368000</v>
      </c>
      <c r="AQ56" s="13">
        <v>0</v>
      </c>
      <c r="AR56" s="13">
        <f t="shared" si="24"/>
        <v>368000</v>
      </c>
      <c r="AS56" s="13">
        <v>37000</v>
      </c>
      <c r="AT56" s="13">
        <v>37000</v>
      </c>
      <c r="AU56" s="13">
        <f t="shared" si="12"/>
        <v>0</v>
      </c>
      <c r="AV56" s="13">
        <v>0</v>
      </c>
      <c r="AW56" s="13">
        <v>0</v>
      </c>
      <c r="AX56" s="13">
        <f t="shared" si="20"/>
        <v>0</v>
      </c>
      <c r="AY56" s="2">
        <f t="shared" si="13"/>
        <v>4156700</v>
      </c>
      <c r="AZ56" s="2">
        <f t="shared" si="13"/>
        <v>552929.05000000005</v>
      </c>
      <c r="BA56" s="2">
        <f t="shared" si="2"/>
        <v>3235770.95</v>
      </c>
      <c r="BB56" s="13">
        <v>0</v>
      </c>
      <c r="BC56" s="13">
        <v>0</v>
      </c>
      <c r="BD56" s="13">
        <f t="shared" si="14"/>
        <v>0</v>
      </c>
      <c r="BE56" s="2">
        <f t="shared" si="27"/>
        <v>7230220</v>
      </c>
      <c r="BF56" s="2">
        <f t="shared" si="26"/>
        <v>1595838.4500000002</v>
      </c>
      <c r="BG56" s="2">
        <f t="shared" si="15"/>
        <v>5634381.5499999998</v>
      </c>
      <c r="BH56" s="13">
        <v>989000</v>
      </c>
      <c r="BI56" s="13"/>
      <c r="BJ56" s="13">
        <f t="shared" si="21"/>
        <v>989000</v>
      </c>
    </row>
    <row r="57" spans="1:62" x14ac:dyDescent="0.55000000000000004">
      <c r="A57" s="11">
        <v>49</v>
      </c>
      <c r="B57" s="12" t="s">
        <v>53</v>
      </c>
      <c r="C57" s="19">
        <v>526980</v>
      </c>
      <c r="D57" s="19">
        <v>263490</v>
      </c>
      <c r="E57" s="21">
        <f t="shared" si="4"/>
        <v>263490</v>
      </c>
      <c r="F57" s="13">
        <f t="shared" si="25"/>
        <v>200000</v>
      </c>
      <c r="G57" s="13">
        <v>2414</v>
      </c>
      <c r="H57" s="13">
        <f t="shared" si="5"/>
        <v>197586</v>
      </c>
      <c r="I57" s="13">
        <f>328800+18000</f>
        <v>346800</v>
      </c>
      <c r="J57" s="13">
        <v>173400</v>
      </c>
      <c r="K57" s="13">
        <f t="shared" si="6"/>
        <v>173400</v>
      </c>
      <c r="L57" s="13">
        <f>135000+99600+1152000+34000</f>
        <v>1420600</v>
      </c>
      <c r="M57" s="13">
        <v>319189.53999999998</v>
      </c>
      <c r="N57" s="13">
        <f t="shared" si="7"/>
        <v>1101410.46</v>
      </c>
      <c r="O57" s="2">
        <f t="shared" si="16"/>
        <v>1967400</v>
      </c>
      <c r="P57" s="2">
        <f t="shared" si="0"/>
        <v>495003.54</v>
      </c>
      <c r="Q57" s="2">
        <f t="shared" si="8"/>
        <v>1472396.46</v>
      </c>
      <c r="R57" s="13">
        <v>20000</v>
      </c>
      <c r="S57" s="13">
        <v>0</v>
      </c>
      <c r="T57" s="13">
        <f t="shared" si="17"/>
        <v>20000</v>
      </c>
      <c r="U57" s="13">
        <v>210000</v>
      </c>
      <c r="V57" s="13">
        <v>160000</v>
      </c>
      <c r="W57" s="13">
        <f t="shared" si="18"/>
        <v>50000</v>
      </c>
      <c r="X57" s="13">
        <v>500000</v>
      </c>
      <c r="Y57" s="13">
        <v>0</v>
      </c>
      <c r="Z57" s="13">
        <f t="shared" si="9"/>
        <v>500000</v>
      </c>
      <c r="AA57" s="13">
        <v>90000</v>
      </c>
      <c r="AB57" s="13">
        <v>19105</v>
      </c>
      <c r="AC57" s="13">
        <f t="shared" si="19"/>
        <v>70895</v>
      </c>
      <c r="AD57" s="13">
        <v>436800</v>
      </c>
      <c r="AE57" s="13">
        <v>0</v>
      </c>
      <c r="AF57" s="13">
        <f t="shared" si="10"/>
        <v>436800</v>
      </c>
      <c r="AG57" s="13">
        <v>1012900</v>
      </c>
      <c r="AH57" s="13">
        <v>221633.02</v>
      </c>
      <c r="AI57" s="13">
        <f t="shared" si="22"/>
        <v>791266.98</v>
      </c>
      <c r="AJ57" s="13">
        <v>136800</v>
      </c>
      <c r="AK57" s="13">
        <v>0</v>
      </c>
      <c r="AL57" s="13">
        <f t="shared" si="11"/>
        <v>136800</v>
      </c>
      <c r="AM57" s="13">
        <v>1500000</v>
      </c>
      <c r="AN57" s="13">
        <v>0</v>
      </c>
      <c r="AO57" s="13">
        <f t="shared" si="23"/>
        <v>1500000</v>
      </c>
      <c r="AP57" s="13">
        <v>368000</v>
      </c>
      <c r="AQ57" s="13">
        <v>0</v>
      </c>
      <c r="AR57" s="13">
        <f t="shared" si="24"/>
        <v>368000</v>
      </c>
      <c r="AS57" s="13">
        <v>37000</v>
      </c>
      <c r="AT57" s="13">
        <v>31400</v>
      </c>
      <c r="AU57" s="13">
        <f t="shared" si="12"/>
        <v>5600</v>
      </c>
      <c r="AV57" s="13">
        <v>0</v>
      </c>
      <c r="AW57" s="13">
        <v>0</v>
      </c>
      <c r="AX57" s="13">
        <f t="shared" si="20"/>
        <v>0</v>
      </c>
      <c r="AY57" s="2">
        <f t="shared" si="13"/>
        <v>4291500</v>
      </c>
      <c r="AZ57" s="2">
        <f t="shared" si="13"/>
        <v>432138.02</v>
      </c>
      <c r="BA57" s="2">
        <f t="shared" si="2"/>
        <v>3485761.98</v>
      </c>
      <c r="BB57" s="13">
        <v>25379200</v>
      </c>
      <c r="BC57" s="13">
        <v>0</v>
      </c>
      <c r="BD57" s="13">
        <f t="shared" si="14"/>
        <v>25379200</v>
      </c>
      <c r="BE57" s="2">
        <f t="shared" si="27"/>
        <v>32185080</v>
      </c>
      <c r="BF57" s="2">
        <f t="shared" si="26"/>
        <v>1190631.56</v>
      </c>
      <c r="BG57" s="2">
        <f t="shared" si="15"/>
        <v>30994448.440000001</v>
      </c>
      <c r="BH57" s="13">
        <v>811000</v>
      </c>
      <c r="BI57" s="13"/>
      <c r="BJ57" s="13">
        <f t="shared" si="21"/>
        <v>811000</v>
      </c>
    </row>
    <row r="58" spans="1:62" x14ac:dyDescent="0.55000000000000004">
      <c r="A58" s="11">
        <v>50</v>
      </c>
      <c r="B58" s="12" t="s">
        <v>54</v>
      </c>
      <c r="C58" s="19">
        <v>547620</v>
      </c>
      <c r="D58" s="19">
        <v>273810</v>
      </c>
      <c r="E58" s="21">
        <f t="shared" si="4"/>
        <v>273810</v>
      </c>
      <c r="F58" s="13">
        <f t="shared" si="25"/>
        <v>200000</v>
      </c>
      <c r="G58" s="13">
        <v>4825</v>
      </c>
      <c r="H58" s="13">
        <f t="shared" si="5"/>
        <v>195175</v>
      </c>
      <c r="I58" s="13">
        <f>247800+18000</f>
        <v>265800</v>
      </c>
      <c r="J58" s="13">
        <v>132300</v>
      </c>
      <c r="K58" s="13">
        <f t="shared" si="6"/>
        <v>133500</v>
      </c>
      <c r="L58" s="13">
        <f>135000+26000+62060+1557043</f>
        <v>1780103</v>
      </c>
      <c r="M58" s="13">
        <v>97679.7</v>
      </c>
      <c r="N58" s="13">
        <f t="shared" si="7"/>
        <v>1682423.3</v>
      </c>
      <c r="O58" s="2">
        <f t="shared" si="16"/>
        <v>2245903</v>
      </c>
      <c r="P58" s="2">
        <f t="shared" si="0"/>
        <v>234804.7</v>
      </c>
      <c r="Q58" s="2">
        <f t="shared" si="8"/>
        <v>2011098.3</v>
      </c>
      <c r="R58" s="13">
        <v>20000</v>
      </c>
      <c r="S58" s="13">
        <v>0</v>
      </c>
      <c r="T58" s="13">
        <f t="shared" si="17"/>
        <v>20000</v>
      </c>
      <c r="U58" s="13">
        <v>210000</v>
      </c>
      <c r="V58" s="13">
        <v>18000</v>
      </c>
      <c r="W58" s="13">
        <f t="shared" si="18"/>
        <v>192000</v>
      </c>
      <c r="X58" s="13">
        <v>0</v>
      </c>
      <c r="Y58" s="13">
        <v>0</v>
      </c>
      <c r="Z58" s="13">
        <f t="shared" si="9"/>
        <v>0</v>
      </c>
      <c r="AA58" s="13">
        <v>90000</v>
      </c>
      <c r="AB58" s="13"/>
      <c r="AC58" s="13">
        <f t="shared" si="19"/>
        <v>90000</v>
      </c>
      <c r="AD58" s="13">
        <v>47600</v>
      </c>
      <c r="AE58" s="13">
        <v>0</v>
      </c>
      <c r="AF58" s="13">
        <f t="shared" si="10"/>
        <v>47600</v>
      </c>
      <c r="AG58" s="13">
        <v>1012900</v>
      </c>
      <c r="AH58" s="13">
        <v>218155.77</v>
      </c>
      <c r="AI58" s="13">
        <f t="shared" si="22"/>
        <v>794744.23</v>
      </c>
      <c r="AJ58" s="13">
        <v>136800</v>
      </c>
      <c r="AK58" s="13">
        <v>80000</v>
      </c>
      <c r="AL58" s="13">
        <f t="shared" si="11"/>
        <v>56800</v>
      </c>
      <c r="AM58" s="13">
        <f>1500000+200000</f>
        <v>1700000</v>
      </c>
      <c r="AN58" s="13">
        <v>0</v>
      </c>
      <c r="AO58" s="13">
        <f t="shared" si="23"/>
        <v>1700000</v>
      </c>
      <c r="AP58" s="13">
        <v>368000</v>
      </c>
      <c r="AQ58" s="13">
        <v>0</v>
      </c>
      <c r="AR58" s="13">
        <f t="shared" si="24"/>
        <v>368000</v>
      </c>
      <c r="AS58" s="13">
        <v>37000</v>
      </c>
      <c r="AT58" s="13">
        <v>0</v>
      </c>
      <c r="AU58" s="13">
        <f t="shared" si="12"/>
        <v>37000</v>
      </c>
      <c r="AV58" s="13">
        <v>0</v>
      </c>
      <c r="AW58" s="13">
        <v>0</v>
      </c>
      <c r="AX58" s="13">
        <f t="shared" si="20"/>
        <v>0</v>
      </c>
      <c r="AY58" s="2">
        <f t="shared" si="13"/>
        <v>3602300</v>
      </c>
      <c r="AZ58" s="2">
        <f t="shared" si="13"/>
        <v>316155.77</v>
      </c>
      <c r="BA58" s="2">
        <f t="shared" si="2"/>
        <v>2881144.23</v>
      </c>
      <c r="BB58" s="13">
        <v>3896200</v>
      </c>
      <c r="BC58" s="13">
        <v>0</v>
      </c>
      <c r="BD58" s="13">
        <f t="shared" si="14"/>
        <v>3896200</v>
      </c>
      <c r="BE58" s="2">
        <f t="shared" si="27"/>
        <v>10312023</v>
      </c>
      <c r="BF58" s="2">
        <f t="shared" si="26"/>
        <v>824770.47</v>
      </c>
      <c r="BG58" s="2">
        <f t="shared" si="15"/>
        <v>9487252.5299999993</v>
      </c>
      <c r="BH58" s="13">
        <v>811000</v>
      </c>
      <c r="BI58" s="13"/>
      <c r="BJ58" s="13">
        <f t="shared" si="21"/>
        <v>811000</v>
      </c>
    </row>
    <row r="59" spans="1:62" x14ac:dyDescent="0.55000000000000004">
      <c r="A59" s="11">
        <v>51</v>
      </c>
      <c r="B59" s="12" t="s">
        <v>55</v>
      </c>
      <c r="C59" s="19">
        <v>420780</v>
      </c>
      <c r="D59" s="19">
        <v>210390</v>
      </c>
      <c r="E59" s="21">
        <f t="shared" si="4"/>
        <v>210390</v>
      </c>
      <c r="F59" s="13">
        <f t="shared" si="25"/>
        <v>200000</v>
      </c>
      <c r="G59" s="13">
        <v>116402</v>
      </c>
      <c r="H59" s="13">
        <f t="shared" si="5"/>
        <v>83598</v>
      </c>
      <c r="I59" s="13">
        <f>90000+108000+13500</f>
        <v>211500</v>
      </c>
      <c r="J59" s="13">
        <f>18500+60750</f>
        <v>79250</v>
      </c>
      <c r="K59" s="13">
        <f t="shared" si="6"/>
        <v>132250</v>
      </c>
      <c r="L59" s="13">
        <f>177000+72000+1191456+243000+85000+275000</f>
        <v>2043456</v>
      </c>
      <c r="M59" s="13">
        <v>550807.43000000005</v>
      </c>
      <c r="N59" s="13">
        <f t="shared" si="7"/>
        <v>1492648.5699999998</v>
      </c>
      <c r="O59" s="2">
        <f t="shared" si="16"/>
        <v>2454956</v>
      </c>
      <c r="P59" s="2">
        <f t="shared" si="0"/>
        <v>746459.43</v>
      </c>
      <c r="Q59" s="2">
        <f t="shared" si="8"/>
        <v>1708496.5699999998</v>
      </c>
      <c r="R59" s="13">
        <v>20000</v>
      </c>
      <c r="S59" s="13">
        <v>0</v>
      </c>
      <c r="T59" s="13">
        <f t="shared" si="17"/>
        <v>20000</v>
      </c>
      <c r="U59" s="13">
        <v>210000</v>
      </c>
      <c r="V59" s="13">
        <v>160000</v>
      </c>
      <c r="W59" s="13">
        <f t="shared" si="18"/>
        <v>50000</v>
      </c>
      <c r="X59" s="13">
        <v>0</v>
      </c>
      <c r="Y59" s="13">
        <v>0</v>
      </c>
      <c r="Z59" s="13">
        <f t="shared" si="9"/>
        <v>0</v>
      </c>
      <c r="AA59" s="13">
        <v>90000</v>
      </c>
      <c r="AB59" s="13">
        <v>33040</v>
      </c>
      <c r="AC59" s="13">
        <f t="shared" si="19"/>
        <v>56960</v>
      </c>
      <c r="AD59" s="13">
        <v>299850</v>
      </c>
      <c r="AE59" s="13">
        <v>0</v>
      </c>
      <c r="AF59" s="13">
        <f t="shared" si="10"/>
        <v>299850</v>
      </c>
      <c r="AG59" s="13">
        <v>1012900</v>
      </c>
      <c r="AH59" s="13">
        <v>140084</v>
      </c>
      <c r="AI59" s="13">
        <f t="shared" si="22"/>
        <v>872816</v>
      </c>
      <c r="AJ59" s="13">
        <v>139860</v>
      </c>
      <c r="AK59" s="13">
        <v>23952</v>
      </c>
      <c r="AL59" s="13">
        <f t="shared" si="11"/>
        <v>115908</v>
      </c>
      <c r="AM59" s="13">
        <f>1500000+200000</f>
        <v>1700000</v>
      </c>
      <c r="AN59" s="13">
        <v>0</v>
      </c>
      <c r="AO59" s="13">
        <f t="shared" si="23"/>
        <v>1700000</v>
      </c>
      <c r="AP59" s="13">
        <v>368000</v>
      </c>
      <c r="AQ59" s="13">
        <v>0</v>
      </c>
      <c r="AR59" s="13">
        <f t="shared" si="24"/>
        <v>368000</v>
      </c>
      <c r="AS59" s="13">
        <v>37000</v>
      </c>
      <c r="AT59" s="13">
        <v>0</v>
      </c>
      <c r="AU59" s="13">
        <f t="shared" si="12"/>
        <v>37000</v>
      </c>
      <c r="AV59" s="13">
        <v>0</v>
      </c>
      <c r="AW59" s="13">
        <v>0</v>
      </c>
      <c r="AX59" s="13">
        <f t="shared" si="20"/>
        <v>0</v>
      </c>
      <c r="AY59" s="2">
        <f t="shared" si="13"/>
        <v>3857610</v>
      </c>
      <c r="AZ59" s="2">
        <f t="shared" si="13"/>
        <v>357076</v>
      </c>
      <c r="BA59" s="2">
        <f t="shared" si="2"/>
        <v>3095534</v>
      </c>
      <c r="BB59" s="13">
        <v>1250500</v>
      </c>
      <c r="BC59" s="13">
        <v>0</v>
      </c>
      <c r="BD59" s="13">
        <f t="shared" si="14"/>
        <v>1250500</v>
      </c>
      <c r="BE59" s="2">
        <f t="shared" si="27"/>
        <v>8003846</v>
      </c>
      <c r="BF59" s="2">
        <f t="shared" si="26"/>
        <v>1313925.4300000002</v>
      </c>
      <c r="BG59" s="2">
        <f t="shared" si="15"/>
        <v>6689920.5700000003</v>
      </c>
      <c r="BH59" s="13">
        <v>811000</v>
      </c>
      <c r="BI59" s="13"/>
      <c r="BJ59" s="13">
        <f t="shared" si="21"/>
        <v>811000</v>
      </c>
    </row>
    <row r="60" spans="1:62" x14ac:dyDescent="0.55000000000000004">
      <c r="A60" s="11">
        <v>52</v>
      </c>
      <c r="B60" s="12" t="s">
        <v>56</v>
      </c>
      <c r="C60" s="19">
        <f>140220+107430</f>
        <v>247650</v>
      </c>
      <c r="D60" s="19">
        <v>123540</v>
      </c>
      <c r="E60" s="21">
        <f t="shared" si="4"/>
        <v>124110</v>
      </c>
      <c r="F60" s="13">
        <f t="shared" si="25"/>
        <v>200000</v>
      </c>
      <c r="G60" s="13">
        <v>15662.84</v>
      </c>
      <c r="H60" s="13">
        <f t="shared" si="5"/>
        <v>184337.16</v>
      </c>
      <c r="I60" s="13">
        <f>4500+3872</f>
        <v>8372</v>
      </c>
      <c r="J60" s="13">
        <v>3872</v>
      </c>
      <c r="K60" s="13">
        <f t="shared" si="6"/>
        <v>4500</v>
      </c>
      <c r="L60" s="13">
        <f>156000+85000+1404000+86000</f>
        <v>1731000</v>
      </c>
      <c r="M60" s="13">
        <v>203423.49</v>
      </c>
      <c r="N60" s="13">
        <f t="shared" si="7"/>
        <v>1527576.51</v>
      </c>
      <c r="O60" s="2">
        <f t="shared" si="16"/>
        <v>1939372</v>
      </c>
      <c r="P60" s="2">
        <f t="shared" si="0"/>
        <v>222958.33</v>
      </c>
      <c r="Q60" s="2">
        <f t="shared" si="8"/>
        <v>1716413.67</v>
      </c>
      <c r="R60" s="13">
        <v>20000</v>
      </c>
      <c r="S60" s="13">
        <v>0</v>
      </c>
      <c r="T60" s="13">
        <f t="shared" si="17"/>
        <v>20000</v>
      </c>
      <c r="U60" s="13">
        <v>270000</v>
      </c>
      <c r="V60" s="13">
        <v>217885</v>
      </c>
      <c r="W60" s="13">
        <f t="shared" si="18"/>
        <v>52115</v>
      </c>
      <c r="X60" s="13">
        <v>0</v>
      </c>
      <c r="Y60" s="13">
        <v>0</v>
      </c>
      <c r="Z60" s="13">
        <f t="shared" si="9"/>
        <v>0</v>
      </c>
      <c r="AA60" s="13">
        <v>90000</v>
      </c>
      <c r="AB60" s="13">
        <v>59630</v>
      </c>
      <c r="AC60" s="13">
        <f t="shared" si="19"/>
        <v>30370</v>
      </c>
      <c r="AD60" s="13">
        <v>300000</v>
      </c>
      <c r="AE60" s="13">
        <v>0</v>
      </c>
      <c r="AF60" s="13">
        <f t="shared" si="10"/>
        <v>300000</v>
      </c>
      <c r="AG60" s="13">
        <v>1012900</v>
      </c>
      <c r="AH60" s="13">
        <v>203672.86</v>
      </c>
      <c r="AI60" s="13">
        <f t="shared" si="22"/>
        <v>809227.14</v>
      </c>
      <c r="AJ60" s="13">
        <v>154800</v>
      </c>
      <c r="AK60" s="13">
        <v>13814.19</v>
      </c>
      <c r="AL60" s="13">
        <f t="shared" si="11"/>
        <v>140985.81</v>
      </c>
      <c r="AM60" s="13">
        <v>1500000</v>
      </c>
      <c r="AN60" s="13">
        <v>0</v>
      </c>
      <c r="AO60" s="13">
        <f t="shared" si="23"/>
        <v>1500000</v>
      </c>
      <c r="AP60" s="13">
        <v>368000</v>
      </c>
      <c r="AQ60" s="13">
        <v>281450</v>
      </c>
      <c r="AR60" s="13">
        <f t="shared" si="24"/>
        <v>86550</v>
      </c>
      <c r="AS60" s="13">
        <v>37000</v>
      </c>
      <c r="AT60" s="13">
        <v>37000</v>
      </c>
      <c r="AU60" s="13">
        <f t="shared" si="12"/>
        <v>0</v>
      </c>
      <c r="AV60" s="13">
        <v>0</v>
      </c>
      <c r="AW60" s="13">
        <v>0</v>
      </c>
      <c r="AX60" s="13">
        <f t="shared" si="20"/>
        <v>0</v>
      </c>
      <c r="AY60" s="2">
        <f t="shared" si="13"/>
        <v>3732700</v>
      </c>
      <c r="AZ60" s="2">
        <f t="shared" si="13"/>
        <v>813452.05</v>
      </c>
      <c r="BA60" s="2">
        <f t="shared" si="2"/>
        <v>2832697.95</v>
      </c>
      <c r="BB60" s="13">
        <v>33655100</v>
      </c>
      <c r="BC60" s="13">
        <v>0</v>
      </c>
      <c r="BD60" s="13">
        <f t="shared" si="14"/>
        <v>33655100</v>
      </c>
      <c r="BE60" s="2">
        <f t="shared" si="27"/>
        <v>39594822</v>
      </c>
      <c r="BF60" s="2">
        <f t="shared" si="26"/>
        <v>1159950.3799999999</v>
      </c>
      <c r="BG60" s="2">
        <f t="shared" si="15"/>
        <v>38434871.619999997</v>
      </c>
      <c r="BH60" s="13">
        <v>1078000</v>
      </c>
      <c r="BI60" s="13"/>
      <c r="BJ60" s="13">
        <f t="shared" si="21"/>
        <v>1078000</v>
      </c>
    </row>
    <row r="61" spans="1:62" x14ac:dyDescent="0.55000000000000004">
      <c r="A61" s="11">
        <v>53</v>
      </c>
      <c r="B61" s="12" t="s">
        <v>57</v>
      </c>
      <c r="C61" s="19">
        <v>516600</v>
      </c>
      <c r="D61" s="19">
        <v>258300</v>
      </c>
      <c r="E61" s="21">
        <f t="shared" si="4"/>
        <v>258300</v>
      </c>
      <c r="F61" s="13">
        <f t="shared" si="25"/>
        <v>200000</v>
      </c>
      <c r="G61" s="13">
        <v>30091</v>
      </c>
      <c r="H61" s="13">
        <f t="shared" si="5"/>
        <v>169909</v>
      </c>
      <c r="I61" s="13">
        <f>233400+18000</f>
        <v>251400</v>
      </c>
      <c r="J61" s="13">
        <v>112200</v>
      </c>
      <c r="K61" s="13">
        <f t="shared" si="6"/>
        <v>139200</v>
      </c>
      <c r="L61" s="13">
        <f>126000+59920+1497600+51000</f>
        <v>1734520</v>
      </c>
      <c r="M61" s="13">
        <v>152521.69</v>
      </c>
      <c r="N61" s="13">
        <f t="shared" si="7"/>
        <v>1581998.31</v>
      </c>
      <c r="O61" s="2">
        <f t="shared" si="16"/>
        <v>2185920</v>
      </c>
      <c r="P61" s="2">
        <f t="shared" si="0"/>
        <v>294812.69</v>
      </c>
      <c r="Q61" s="2">
        <f t="shared" si="8"/>
        <v>1891107.31</v>
      </c>
      <c r="R61" s="13">
        <v>20000</v>
      </c>
      <c r="S61" s="13">
        <v>0</v>
      </c>
      <c r="T61" s="13">
        <f t="shared" si="17"/>
        <v>20000</v>
      </c>
      <c r="U61" s="13">
        <f>250000+250000</f>
        <v>500000</v>
      </c>
      <c r="V61" s="13">
        <v>239856</v>
      </c>
      <c r="W61" s="13">
        <f t="shared" si="18"/>
        <v>260144</v>
      </c>
      <c r="X61" s="13">
        <v>0</v>
      </c>
      <c r="Y61" s="13">
        <v>0</v>
      </c>
      <c r="Z61" s="13">
        <f t="shared" si="9"/>
        <v>0</v>
      </c>
      <c r="AA61" s="13">
        <v>90000</v>
      </c>
      <c r="AB61" s="13">
        <v>28320</v>
      </c>
      <c r="AC61" s="13">
        <f t="shared" si="19"/>
        <v>61680</v>
      </c>
      <c r="AD61" s="13">
        <v>459550</v>
      </c>
      <c r="AE61" s="13">
        <v>0</v>
      </c>
      <c r="AF61" s="13">
        <f t="shared" si="10"/>
        <v>459550</v>
      </c>
      <c r="AG61" s="13">
        <v>1012900</v>
      </c>
      <c r="AH61" s="13">
        <v>226632.11</v>
      </c>
      <c r="AI61" s="13">
        <f t="shared" si="22"/>
        <v>786267.89</v>
      </c>
      <c r="AJ61" s="13">
        <v>148800</v>
      </c>
      <c r="AK61" s="13">
        <v>35858</v>
      </c>
      <c r="AL61" s="13">
        <f t="shared" si="11"/>
        <v>112942</v>
      </c>
      <c r="AM61" s="13">
        <v>1500000</v>
      </c>
      <c r="AN61" s="13">
        <v>0</v>
      </c>
      <c r="AO61" s="13">
        <f t="shared" si="23"/>
        <v>1500000</v>
      </c>
      <c r="AP61" s="13">
        <v>368000</v>
      </c>
      <c r="AQ61" s="13">
        <v>0</v>
      </c>
      <c r="AR61" s="13">
        <f t="shared" si="24"/>
        <v>368000</v>
      </c>
      <c r="AS61" s="13">
        <v>37000</v>
      </c>
      <c r="AT61" s="13">
        <v>30000</v>
      </c>
      <c r="AU61" s="13">
        <f t="shared" si="12"/>
        <v>7000</v>
      </c>
      <c r="AV61" s="13">
        <v>0</v>
      </c>
      <c r="AW61" s="13">
        <v>0</v>
      </c>
      <c r="AX61" s="13">
        <f t="shared" si="20"/>
        <v>0</v>
      </c>
      <c r="AY61" s="2">
        <f t="shared" si="13"/>
        <v>4116250</v>
      </c>
      <c r="AZ61" s="2">
        <f t="shared" si="13"/>
        <v>560666.11</v>
      </c>
      <c r="BA61" s="2">
        <f t="shared" si="2"/>
        <v>3180583.89</v>
      </c>
      <c r="BB61" s="13">
        <v>49399400</v>
      </c>
      <c r="BC61" s="13">
        <v>22557953</v>
      </c>
      <c r="BD61" s="13">
        <f t="shared" si="14"/>
        <v>26841447</v>
      </c>
      <c r="BE61" s="2">
        <f t="shared" si="27"/>
        <v>56238170</v>
      </c>
      <c r="BF61" s="2">
        <f t="shared" si="26"/>
        <v>23671731.800000001</v>
      </c>
      <c r="BG61" s="2">
        <f t="shared" si="15"/>
        <v>32566438.199999999</v>
      </c>
      <c r="BH61" s="13">
        <v>989000</v>
      </c>
      <c r="BI61" s="13"/>
      <c r="BJ61" s="13">
        <f t="shared" si="21"/>
        <v>989000</v>
      </c>
    </row>
    <row r="62" spans="1:62" x14ac:dyDescent="0.55000000000000004">
      <c r="A62" s="11">
        <v>54</v>
      </c>
      <c r="B62" s="12" t="s">
        <v>58</v>
      </c>
      <c r="C62" s="19">
        <f>632100+106268</f>
        <v>738368</v>
      </c>
      <c r="D62" s="19">
        <v>316050</v>
      </c>
      <c r="E62" s="21">
        <f t="shared" si="4"/>
        <v>422318</v>
      </c>
      <c r="F62" s="13">
        <f t="shared" si="25"/>
        <v>200000</v>
      </c>
      <c r="G62" s="13">
        <v>64673.01</v>
      </c>
      <c r="H62" s="13">
        <f t="shared" si="5"/>
        <v>135326.99</v>
      </c>
      <c r="I62" s="13">
        <f>24000+22500+4563</f>
        <v>51063</v>
      </c>
      <c r="J62" s="13">
        <v>19250</v>
      </c>
      <c r="K62" s="13">
        <f t="shared" si="6"/>
        <v>31813</v>
      </c>
      <c r="L62" s="13">
        <f>102000+605214+10940+39000</f>
        <v>757154</v>
      </c>
      <c r="M62" s="13">
        <v>71047.44</v>
      </c>
      <c r="N62" s="13">
        <f t="shared" si="7"/>
        <v>686106.56</v>
      </c>
      <c r="O62" s="2">
        <f t="shared" si="16"/>
        <v>1008217</v>
      </c>
      <c r="P62" s="2">
        <f t="shared" si="0"/>
        <v>154970.45000000001</v>
      </c>
      <c r="Q62" s="2">
        <f t="shared" si="8"/>
        <v>853246.55</v>
      </c>
      <c r="R62" s="13">
        <v>20000</v>
      </c>
      <c r="S62" s="13">
        <v>0</v>
      </c>
      <c r="T62" s="13">
        <f t="shared" si="17"/>
        <v>20000</v>
      </c>
      <c r="U62" s="13">
        <v>230000</v>
      </c>
      <c r="V62" s="13">
        <v>230000</v>
      </c>
      <c r="W62" s="13">
        <f t="shared" si="18"/>
        <v>0</v>
      </c>
      <c r="X62" s="13">
        <v>0</v>
      </c>
      <c r="Y62" s="13">
        <v>0</v>
      </c>
      <c r="Z62" s="13">
        <f t="shared" si="9"/>
        <v>0</v>
      </c>
      <c r="AA62" s="13">
        <v>90000</v>
      </c>
      <c r="AB62" s="13">
        <v>55825</v>
      </c>
      <c r="AC62" s="13">
        <f t="shared" si="19"/>
        <v>34175</v>
      </c>
      <c r="AD62" s="13">
        <v>707300</v>
      </c>
      <c r="AE62" s="13">
        <v>125400</v>
      </c>
      <c r="AF62" s="13">
        <f t="shared" si="10"/>
        <v>581900</v>
      </c>
      <c r="AG62" s="13">
        <v>1012900</v>
      </c>
      <c r="AH62" s="13">
        <v>179470.76</v>
      </c>
      <c r="AI62" s="13">
        <f t="shared" si="22"/>
        <v>833429.24</v>
      </c>
      <c r="AJ62" s="13">
        <v>142800</v>
      </c>
      <c r="AK62" s="13">
        <v>0</v>
      </c>
      <c r="AL62" s="13">
        <f t="shared" si="11"/>
        <v>142800</v>
      </c>
      <c r="AM62" s="13">
        <v>1500000</v>
      </c>
      <c r="AN62" s="13">
        <v>0</v>
      </c>
      <c r="AO62" s="13">
        <f t="shared" si="23"/>
        <v>1500000</v>
      </c>
      <c r="AP62" s="13">
        <v>368000</v>
      </c>
      <c r="AQ62" s="13">
        <v>0</v>
      </c>
      <c r="AR62" s="13">
        <f t="shared" si="24"/>
        <v>368000</v>
      </c>
      <c r="AS62" s="13">
        <v>37000</v>
      </c>
      <c r="AT62" s="13">
        <v>26500</v>
      </c>
      <c r="AU62" s="13">
        <f t="shared" si="12"/>
        <v>10500</v>
      </c>
      <c r="AV62" s="13">
        <v>0</v>
      </c>
      <c r="AW62" s="13">
        <v>0</v>
      </c>
      <c r="AX62" s="13">
        <f t="shared" si="20"/>
        <v>0</v>
      </c>
      <c r="AY62" s="2">
        <f t="shared" si="13"/>
        <v>4088000</v>
      </c>
      <c r="AZ62" s="2">
        <f t="shared" si="13"/>
        <v>617195.76</v>
      </c>
      <c r="BA62" s="2">
        <f t="shared" si="2"/>
        <v>3092304.24</v>
      </c>
      <c r="BB62" s="13">
        <v>45640700</v>
      </c>
      <c r="BC62" s="13">
        <v>0</v>
      </c>
      <c r="BD62" s="13">
        <f t="shared" si="14"/>
        <v>45640700</v>
      </c>
      <c r="BE62" s="2">
        <f t="shared" si="27"/>
        <v>51495285</v>
      </c>
      <c r="BF62" s="2">
        <f t="shared" si="26"/>
        <v>1088216.21</v>
      </c>
      <c r="BG62" s="2">
        <f t="shared" si="15"/>
        <v>50407068.789999999</v>
      </c>
      <c r="BH62" s="13">
        <v>900000</v>
      </c>
      <c r="BI62" s="13"/>
      <c r="BJ62" s="13">
        <f t="shared" si="21"/>
        <v>900000</v>
      </c>
    </row>
    <row r="63" spans="1:62" x14ac:dyDescent="0.55000000000000004">
      <c r="A63" s="11">
        <v>55</v>
      </c>
      <c r="B63" s="12" t="s">
        <v>59</v>
      </c>
      <c r="C63" s="19">
        <v>744960</v>
      </c>
      <c r="D63" s="19">
        <v>372480</v>
      </c>
      <c r="E63" s="21">
        <f t="shared" si="4"/>
        <v>372480</v>
      </c>
      <c r="F63" s="13">
        <f t="shared" si="25"/>
        <v>200000</v>
      </c>
      <c r="G63" s="13">
        <v>91266</v>
      </c>
      <c r="H63" s="13">
        <f t="shared" si="5"/>
        <v>108734</v>
      </c>
      <c r="I63" s="13">
        <f>231000+27000</f>
        <v>258000</v>
      </c>
      <c r="J63" s="13">
        <f>89500+13500</f>
        <v>103000</v>
      </c>
      <c r="K63" s="13">
        <f t="shared" si="6"/>
        <v>155000</v>
      </c>
      <c r="L63" s="13">
        <f>189000+28248+1125940+21000</f>
        <v>1364188</v>
      </c>
      <c r="M63" s="13">
        <v>167953.82</v>
      </c>
      <c r="N63" s="13">
        <f t="shared" si="7"/>
        <v>1196234.18</v>
      </c>
      <c r="O63" s="2">
        <f t="shared" si="16"/>
        <v>1822188</v>
      </c>
      <c r="P63" s="2">
        <f t="shared" si="0"/>
        <v>362219.82</v>
      </c>
      <c r="Q63" s="2">
        <f t="shared" si="8"/>
        <v>1459968.18</v>
      </c>
      <c r="R63" s="13">
        <v>20000</v>
      </c>
      <c r="S63" s="13">
        <v>0</v>
      </c>
      <c r="T63" s="13">
        <f t="shared" si="17"/>
        <v>20000</v>
      </c>
      <c r="U63" s="13">
        <v>290000</v>
      </c>
      <c r="V63" s="13">
        <v>272000</v>
      </c>
      <c r="W63" s="13">
        <f t="shared" si="18"/>
        <v>18000</v>
      </c>
      <c r="X63" s="13">
        <v>500000</v>
      </c>
      <c r="Y63" s="13">
        <v>45360</v>
      </c>
      <c r="Z63" s="13">
        <f t="shared" si="9"/>
        <v>454640</v>
      </c>
      <c r="AA63" s="13">
        <v>90000</v>
      </c>
      <c r="AB63" s="13">
        <v>51750</v>
      </c>
      <c r="AC63" s="13">
        <f t="shared" si="19"/>
        <v>38250</v>
      </c>
      <c r="AD63" s="13">
        <v>124800</v>
      </c>
      <c r="AE63" s="13">
        <v>0</v>
      </c>
      <c r="AF63" s="13">
        <f t="shared" si="10"/>
        <v>124800</v>
      </c>
      <c r="AG63" s="13">
        <v>1012900</v>
      </c>
      <c r="AH63" s="13">
        <v>133891.31</v>
      </c>
      <c r="AI63" s="13">
        <f t="shared" si="22"/>
        <v>879008.69</v>
      </c>
      <c r="AJ63" s="13">
        <v>160800</v>
      </c>
      <c r="AK63" s="13">
        <v>0</v>
      </c>
      <c r="AL63" s="13">
        <f t="shared" si="11"/>
        <v>160800</v>
      </c>
      <c r="AM63" s="13">
        <v>1500000</v>
      </c>
      <c r="AN63" s="13">
        <v>0</v>
      </c>
      <c r="AO63" s="13">
        <f t="shared" si="23"/>
        <v>1500000</v>
      </c>
      <c r="AP63" s="13">
        <v>368000</v>
      </c>
      <c r="AQ63" s="13">
        <v>0</v>
      </c>
      <c r="AR63" s="13">
        <f t="shared" si="24"/>
        <v>368000</v>
      </c>
      <c r="AS63" s="13">
        <v>37000</v>
      </c>
      <c r="AT63" s="13">
        <v>0</v>
      </c>
      <c r="AU63" s="13">
        <f t="shared" si="12"/>
        <v>37000</v>
      </c>
      <c r="AV63" s="13">
        <v>0</v>
      </c>
      <c r="AW63" s="13">
        <v>0</v>
      </c>
      <c r="AX63" s="13">
        <f t="shared" si="20"/>
        <v>0</v>
      </c>
      <c r="AY63" s="2">
        <f t="shared" si="13"/>
        <v>4083500</v>
      </c>
      <c r="AZ63" s="2">
        <f t="shared" si="13"/>
        <v>503001.31</v>
      </c>
      <c r="BA63" s="2">
        <f t="shared" si="2"/>
        <v>3175498.69</v>
      </c>
      <c r="BB63" s="13">
        <v>13715100</v>
      </c>
      <c r="BC63" s="13">
        <v>0</v>
      </c>
      <c r="BD63" s="13">
        <f t="shared" si="14"/>
        <v>13715100</v>
      </c>
      <c r="BE63" s="2">
        <f t="shared" si="27"/>
        <v>20385748</v>
      </c>
      <c r="BF63" s="2">
        <f t="shared" si="26"/>
        <v>1237701.1299999999</v>
      </c>
      <c r="BG63" s="2">
        <f t="shared" si="15"/>
        <v>19148046.870000001</v>
      </c>
      <c r="BH63" s="13">
        <v>1167000</v>
      </c>
      <c r="BI63" s="13"/>
      <c r="BJ63" s="13">
        <f t="shared" si="21"/>
        <v>1167000</v>
      </c>
    </row>
    <row r="64" spans="1:62" x14ac:dyDescent="0.55000000000000004">
      <c r="A64" s="11">
        <v>56</v>
      </c>
      <c r="B64" s="12" t="s">
        <v>60</v>
      </c>
      <c r="C64" s="19">
        <v>539760</v>
      </c>
      <c r="D64" s="19">
        <v>269880</v>
      </c>
      <c r="E64" s="21">
        <f t="shared" si="4"/>
        <v>269880</v>
      </c>
      <c r="F64" s="13">
        <f t="shared" si="25"/>
        <v>200000</v>
      </c>
      <c r="G64" s="13">
        <v>100435.83</v>
      </c>
      <c r="H64" s="13">
        <f t="shared" si="5"/>
        <v>99564.17</v>
      </c>
      <c r="I64" s="13">
        <f>174000+18000</f>
        <v>192000</v>
      </c>
      <c r="J64" s="13">
        <f>29000+9000</f>
        <v>38000</v>
      </c>
      <c r="K64" s="13">
        <f t="shared" si="6"/>
        <v>154000</v>
      </c>
      <c r="L64" s="13">
        <f>324000+492089+66000+2016000+34000</f>
        <v>2932089</v>
      </c>
      <c r="M64" s="13">
        <v>677161.59</v>
      </c>
      <c r="N64" s="13">
        <f t="shared" si="7"/>
        <v>2254927.41</v>
      </c>
      <c r="O64" s="2">
        <f t="shared" si="16"/>
        <v>3324089</v>
      </c>
      <c r="P64" s="2">
        <f t="shared" si="0"/>
        <v>815597.41999999993</v>
      </c>
      <c r="Q64" s="2">
        <f t="shared" si="8"/>
        <v>2508491.58</v>
      </c>
      <c r="R64" s="13">
        <v>20000</v>
      </c>
      <c r="S64" s="13">
        <v>0</v>
      </c>
      <c r="T64" s="13">
        <f t="shared" si="17"/>
        <v>20000</v>
      </c>
      <c r="U64" s="13">
        <v>230000</v>
      </c>
      <c r="V64" s="13">
        <v>210000</v>
      </c>
      <c r="W64" s="13">
        <f t="shared" si="18"/>
        <v>20000</v>
      </c>
      <c r="X64" s="13">
        <v>0</v>
      </c>
      <c r="Y64" s="13">
        <v>0</v>
      </c>
      <c r="Z64" s="13">
        <f t="shared" si="9"/>
        <v>0</v>
      </c>
      <c r="AA64" s="13">
        <v>90000</v>
      </c>
      <c r="AB64" s="13">
        <v>50000</v>
      </c>
      <c r="AC64" s="13">
        <f t="shared" si="19"/>
        <v>40000</v>
      </c>
      <c r="AD64" s="13">
        <v>209300</v>
      </c>
      <c r="AE64" s="13">
        <v>0</v>
      </c>
      <c r="AF64" s="13">
        <f t="shared" si="10"/>
        <v>209300</v>
      </c>
      <c r="AG64" s="13">
        <v>1012900</v>
      </c>
      <c r="AH64" s="13">
        <v>220774.98</v>
      </c>
      <c r="AI64" s="13">
        <f t="shared" si="22"/>
        <v>792125.02</v>
      </c>
      <c r="AJ64" s="13">
        <v>142800</v>
      </c>
      <c r="AK64" s="13">
        <v>71439</v>
      </c>
      <c r="AL64" s="13">
        <f t="shared" si="11"/>
        <v>71361</v>
      </c>
      <c r="AM64" s="13">
        <v>1500000</v>
      </c>
      <c r="AN64" s="13">
        <v>0</v>
      </c>
      <c r="AO64" s="13">
        <f t="shared" si="23"/>
        <v>1500000</v>
      </c>
      <c r="AP64" s="13">
        <v>368000</v>
      </c>
      <c r="AQ64" s="13">
        <v>0</v>
      </c>
      <c r="AR64" s="13">
        <f t="shared" si="24"/>
        <v>368000</v>
      </c>
      <c r="AS64" s="13">
        <v>37000</v>
      </c>
      <c r="AT64" s="13">
        <v>0</v>
      </c>
      <c r="AU64" s="13">
        <f t="shared" si="12"/>
        <v>37000</v>
      </c>
      <c r="AV64" s="13">
        <v>0</v>
      </c>
      <c r="AW64" s="13">
        <v>0</v>
      </c>
      <c r="AX64" s="13">
        <f t="shared" si="20"/>
        <v>0</v>
      </c>
      <c r="AY64" s="2">
        <f t="shared" si="13"/>
        <v>3590000</v>
      </c>
      <c r="AZ64" s="2">
        <f t="shared" si="13"/>
        <v>552213.98</v>
      </c>
      <c r="BA64" s="2">
        <f t="shared" si="2"/>
        <v>2632786.02</v>
      </c>
      <c r="BB64" s="13">
        <v>0</v>
      </c>
      <c r="BC64" s="13">
        <v>0</v>
      </c>
      <c r="BD64" s="13">
        <f t="shared" si="14"/>
        <v>0</v>
      </c>
      <c r="BE64" s="2">
        <f t="shared" si="27"/>
        <v>7473849</v>
      </c>
      <c r="BF64" s="2">
        <f t="shared" si="26"/>
        <v>1637691.4</v>
      </c>
      <c r="BG64" s="2">
        <f t="shared" si="15"/>
        <v>5836157.5999999996</v>
      </c>
      <c r="BH64" s="13">
        <v>900000</v>
      </c>
      <c r="BI64" s="13"/>
      <c r="BJ64" s="13">
        <f t="shared" si="21"/>
        <v>900000</v>
      </c>
    </row>
    <row r="65" spans="1:62" x14ac:dyDescent="0.55000000000000004">
      <c r="A65" s="11">
        <v>57</v>
      </c>
      <c r="B65" s="12" t="s">
        <v>61</v>
      </c>
      <c r="C65" s="19">
        <v>639000</v>
      </c>
      <c r="D65" s="19">
        <v>319500</v>
      </c>
      <c r="E65" s="21">
        <f t="shared" si="4"/>
        <v>319500</v>
      </c>
      <c r="F65" s="13">
        <f t="shared" si="25"/>
        <v>200000</v>
      </c>
      <c r="G65" s="13">
        <v>137640</v>
      </c>
      <c r="H65" s="13">
        <f t="shared" si="5"/>
        <v>62360</v>
      </c>
      <c r="I65" s="13">
        <f>76800+21000+22500+7200</f>
        <v>127500</v>
      </c>
      <c r="J65" s="13">
        <f>29700+11250</f>
        <v>40950</v>
      </c>
      <c r="K65" s="13">
        <f t="shared" si="6"/>
        <v>86550</v>
      </c>
      <c r="L65" s="13">
        <f>144000+357000+90000+8500+135000+28248+912000+24937+329560</f>
        <v>2029245</v>
      </c>
      <c r="M65" s="13">
        <v>384676.96</v>
      </c>
      <c r="N65" s="13">
        <f t="shared" si="7"/>
        <v>1644568.04</v>
      </c>
      <c r="O65" s="2">
        <f t="shared" si="16"/>
        <v>2356745</v>
      </c>
      <c r="P65" s="2">
        <f t="shared" si="0"/>
        <v>563266.96</v>
      </c>
      <c r="Q65" s="2">
        <f t="shared" si="8"/>
        <v>1793478.04</v>
      </c>
      <c r="R65" s="13">
        <v>20000</v>
      </c>
      <c r="S65" s="13">
        <v>0</v>
      </c>
      <c r="T65" s="13">
        <f t="shared" si="17"/>
        <v>20000</v>
      </c>
      <c r="U65" s="13">
        <f>170000+237460</f>
        <v>407460</v>
      </c>
      <c r="V65" s="13">
        <v>170000</v>
      </c>
      <c r="W65" s="13">
        <f t="shared" si="18"/>
        <v>237460</v>
      </c>
      <c r="X65" s="13">
        <v>0</v>
      </c>
      <c r="Y65" s="13">
        <v>0</v>
      </c>
      <c r="Z65" s="13">
        <f t="shared" si="9"/>
        <v>0</v>
      </c>
      <c r="AA65" s="13">
        <v>90000</v>
      </c>
      <c r="AB65" s="13">
        <v>13640</v>
      </c>
      <c r="AC65" s="13">
        <f t="shared" si="19"/>
        <v>76360</v>
      </c>
      <c r="AD65" s="13">
        <v>341000</v>
      </c>
      <c r="AE65" s="13">
        <v>181100</v>
      </c>
      <c r="AF65" s="13">
        <f t="shared" si="10"/>
        <v>159900</v>
      </c>
      <c r="AG65" s="13">
        <v>1012900</v>
      </c>
      <c r="AH65" s="13">
        <v>249085.5</v>
      </c>
      <c r="AI65" s="13">
        <f t="shared" si="22"/>
        <v>763814.5</v>
      </c>
      <c r="AJ65" s="13">
        <v>124800</v>
      </c>
      <c r="AK65" s="13">
        <v>7350</v>
      </c>
      <c r="AL65" s="13">
        <f t="shared" si="11"/>
        <v>117450</v>
      </c>
      <c r="AM65" s="13">
        <v>1500000</v>
      </c>
      <c r="AN65" s="13">
        <v>0</v>
      </c>
      <c r="AO65" s="13">
        <f t="shared" si="23"/>
        <v>1500000</v>
      </c>
      <c r="AP65" s="13">
        <v>368000</v>
      </c>
      <c r="AQ65" s="13">
        <v>0</v>
      </c>
      <c r="AR65" s="13">
        <f t="shared" si="24"/>
        <v>368000</v>
      </c>
      <c r="AS65" s="13">
        <v>37000</v>
      </c>
      <c r="AT65" s="13">
        <v>37000</v>
      </c>
      <c r="AU65" s="13">
        <f t="shared" si="12"/>
        <v>0</v>
      </c>
      <c r="AV65" s="13">
        <v>0</v>
      </c>
      <c r="AW65" s="13">
        <v>0</v>
      </c>
      <c r="AX65" s="13">
        <f t="shared" si="20"/>
        <v>0</v>
      </c>
      <c r="AY65" s="2">
        <f t="shared" si="13"/>
        <v>3881160</v>
      </c>
      <c r="AZ65" s="2">
        <f t="shared" si="13"/>
        <v>658175.5</v>
      </c>
      <c r="BA65" s="2">
        <f t="shared" si="2"/>
        <v>2854984.5</v>
      </c>
      <c r="BB65" s="13">
        <v>35939000</v>
      </c>
      <c r="BC65" s="13">
        <v>6250211.6699999999</v>
      </c>
      <c r="BD65" s="13">
        <f t="shared" si="14"/>
        <v>29688788.329999998</v>
      </c>
      <c r="BE65" s="2">
        <f t="shared" si="27"/>
        <v>42835905</v>
      </c>
      <c r="BF65" s="2">
        <f t="shared" si="26"/>
        <v>7791154.1299999999</v>
      </c>
      <c r="BG65" s="2">
        <f t="shared" si="15"/>
        <v>35044750.869999997</v>
      </c>
      <c r="BH65" s="13">
        <v>633000</v>
      </c>
      <c r="BI65" s="13"/>
      <c r="BJ65" s="13">
        <f t="shared" si="21"/>
        <v>633000</v>
      </c>
    </row>
    <row r="66" spans="1:62" x14ac:dyDescent="0.55000000000000004">
      <c r="A66" s="11">
        <v>58</v>
      </c>
      <c r="B66" s="12" t="s">
        <v>62</v>
      </c>
      <c r="C66" s="19">
        <f>284700</f>
        <v>284700</v>
      </c>
      <c r="D66" s="19">
        <v>142350</v>
      </c>
      <c r="E66" s="21">
        <f t="shared" si="4"/>
        <v>142350</v>
      </c>
      <c r="F66" s="13">
        <f t="shared" si="25"/>
        <v>200000</v>
      </c>
      <c r="G66" s="13">
        <v>25589.200000000001</v>
      </c>
      <c r="H66" s="13">
        <f t="shared" si="5"/>
        <v>174410.8</v>
      </c>
      <c r="I66" s="13">
        <f>9000+90000</f>
        <v>99000</v>
      </c>
      <c r="J66" s="13">
        <f>45000+4500</f>
        <v>49500</v>
      </c>
      <c r="K66" s="13">
        <f t="shared" si="6"/>
        <v>49500</v>
      </c>
      <c r="L66" s="13">
        <f>159000+82000+42800+688800</f>
        <v>972600</v>
      </c>
      <c r="M66" s="13">
        <v>144777.17000000001</v>
      </c>
      <c r="N66" s="13">
        <f t="shared" si="7"/>
        <v>827822.83</v>
      </c>
      <c r="O66" s="2">
        <f t="shared" si="16"/>
        <v>1271600</v>
      </c>
      <c r="P66" s="2">
        <f t="shared" si="0"/>
        <v>219866.37</v>
      </c>
      <c r="Q66" s="2">
        <f t="shared" si="8"/>
        <v>1051733.6299999999</v>
      </c>
      <c r="R66" s="13">
        <v>20000</v>
      </c>
      <c r="S66" s="13">
        <v>0</v>
      </c>
      <c r="T66" s="13">
        <f t="shared" si="17"/>
        <v>20000</v>
      </c>
      <c r="U66" s="13">
        <f>90000+250000</f>
        <v>340000</v>
      </c>
      <c r="V66" s="13">
        <v>70000</v>
      </c>
      <c r="W66" s="13">
        <f t="shared" si="18"/>
        <v>270000</v>
      </c>
      <c r="X66" s="13">
        <v>0</v>
      </c>
      <c r="Y66" s="13">
        <v>0</v>
      </c>
      <c r="Z66" s="13">
        <f t="shared" si="9"/>
        <v>0</v>
      </c>
      <c r="AA66" s="13">
        <v>90000</v>
      </c>
      <c r="AB66" s="13">
        <v>50000</v>
      </c>
      <c r="AC66" s="13">
        <f t="shared" si="19"/>
        <v>40000</v>
      </c>
      <c r="AD66" s="13">
        <v>325000</v>
      </c>
      <c r="AE66" s="13">
        <v>0</v>
      </c>
      <c r="AF66" s="13">
        <f t="shared" si="10"/>
        <v>325000</v>
      </c>
      <c r="AG66" s="13">
        <v>1012900</v>
      </c>
      <c r="AH66" s="13">
        <v>199788</v>
      </c>
      <c r="AI66" s="13">
        <f t="shared" si="22"/>
        <v>813112</v>
      </c>
      <c r="AJ66" s="13">
        <v>100800</v>
      </c>
      <c r="AK66" s="13">
        <v>20920</v>
      </c>
      <c r="AL66" s="13">
        <f t="shared" si="11"/>
        <v>79880</v>
      </c>
      <c r="AM66" s="13">
        <v>1500000</v>
      </c>
      <c r="AN66" s="13">
        <v>0</v>
      </c>
      <c r="AO66" s="13">
        <f t="shared" si="23"/>
        <v>1500000</v>
      </c>
      <c r="AP66" s="13">
        <v>368000</v>
      </c>
      <c r="AQ66" s="13">
        <v>0</v>
      </c>
      <c r="AR66" s="13">
        <f t="shared" si="24"/>
        <v>368000</v>
      </c>
      <c r="AS66" s="13">
        <v>37000</v>
      </c>
      <c r="AT66" s="13">
        <v>37000</v>
      </c>
      <c r="AU66" s="13">
        <f t="shared" si="12"/>
        <v>0</v>
      </c>
      <c r="AV66" s="13">
        <v>0</v>
      </c>
      <c r="AW66" s="13">
        <v>0</v>
      </c>
      <c r="AX66" s="13">
        <f t="shared" si="20"/>
        <v>0</v>
      </c>
      <c r="AY66" s="2">
        <f t="shared" si="13"/>
        <v>3773700</v>
      </c>
      <c r="AZ66" s="2">
        <f t="shared" si="13"/>
        <v>377708</v>
      </c>
      <c r="BA66" s="2">
        <f t="shared" si="2"/>
        <v>3027992</v>
      </c>
      <c r="BB66" s="13">
        <v>0</v>
      </c>
      <c r="BC66" s="13">
        <v>0</v>
      </c>
      <c r="BD66" s="13">
        <f t="shared" si="14"/>
        <v>0</v>
      </c>
      <c r="BE66" s="2">
        <f t="shared" si="27"/>
        <v>5350000</v>
      </c>
      <c r="BF66" s="2">
        <f t="shared" si="26"/>
        <v>739924.37</v>
      </c>
      <c r="BG66" s="2">
        <f t="shared" si="15"/>
        <v>4610075.63</v>
      </c>
      <c r="BH66" s="13">
        <v>277000</v>
      </c>
      <c r="BI66" s="13"/>
      <c r="BJ66" s="13">
        <f t="shared" si="21"/>
        <v>277000</v>
      </c>
    </row>
    <row r="67" spans="1:62" x14ac:dyDescent="0.55000000000000004">
      <c r="A67" s="11">
        <v>59</v>
      </c>
      <c r="B67" s="12" t="s">
        <v>63</v>
      </c>
      <c r="C67" s="19">
        <v>682800</v>
      </c>
      <c r="D67" s="19">
        <v>341400</v>
      </c>
      <c r="E67" s="21">
        <f t="shared" si="4"/>
        <v>341400</v>
      </c>
      <c r="F67" s="13">
        <f t="shared" si="25"/>
        <v>200000</v>
      </c>
      <c r="G67" s="13">
        <v>38255.4</v>
      </c>
      <c r="H67" s="13">
        <f t="shared" si="5"/>
        <v>161744.6</v>
      </c>
      <c r="I67" s="13">
        <f>272400+22500</f>
        <v>294900</v>
      </c>
      <c r="J67" s="13">
        <f>110450</f>
        <v>110450</v>
      </c>
      <c r="K67" s="13">
        <f t="shared" si="6"/>
        <v>184450</v>
      </c>
      <c r="L67" s="13">
        <f>138000+59920+560400+19000</f>
        <v>777320</v>
      </c>
      <c r="M67" s="13">
        <v>96560.37</v>
      </c>
      <c r="N67" s="13">
        <f t="shared" si="7"/>
        <v>680759.63</v>
      </c>
      <c r="O67" s="2">
        <f t="shared" si="16"/>
        <v>1272220</v>
      </c>
      <c r="P67" s="2">
        <f t="shared" si="0"/>
        <v>245265.77</v>
      </c>
      <c r="Q67" s="2">
        <f t="shared" si="8"/>
        <v>1026954.23</v>
      </c>
      <c r="R67" s="13">
        <v>20000</v>
      </c>
      <c r="S67" s="13">
        <v>0</v>
      </c>
      <c r="T67" s="13">
        <f t="shared" si="17"/>
        <v>20000</v>
      </c>
      <c r="U67" s="13">
        <f>90000+97710</f>
        <v>187710</v>
      </c>
      <c r="V67" s="13">
        <v>89990</v>
      </c>
      <c r="W67" s="13">
        <f t="shared" si="18"/>
        <v>97720</v>
      </c>
      <c r="X67" s="13">
        <v>0</v>
      </c>
      <c r="Y67" s="13">
        <v>0</v>
      </c>
      <c r="Z67" s="13">
        <f t="shared" si="9"/>
        <v>0</v>
      </c>
      <c r="AA67" s="13">
        <v>90000</v>
      </c>
      <c r="AB67" s="13">
        <v>53500</v>
      </c>
      <c r="AC67" s="13">
        <f t="shared" si="19"/>
        <v>36500</v>
      </c>
      <c r="AD67" s="13">
        <v>263850</v>
      </c>
      <c r="AE67" s="13">
        <v>0</v>
      </c>
      <c r="AF67" s="13">
        <f t="shared" si="10"/>
        <v>263850</v>
      </c>
      <c r="AG67" s="13">
        <v>1012900</v>
      </c>
      <c r="AH67" s="13">
        <v>153910</v>
      </c>
      <c r="AI67" s="13">
        <f t="shared" si="22"/>
        <v>858990</v>
      </c>
      <c r="AJ67" s="13">
        <v>100800</v>
      </c>
      <c r="AK67" s="13">
        <v>65024.11</v>
      </c>
      <c r="AL67" s="13">
        <f t="shared" si="11"/>
        <v>35775.89</v>
      </c>
      <c r="AM67" s="13">
        <f>1500000+105923</f>
        <v>1605923</v>
      </c>
      <c r="AN67" s="13">
        <v>105923</v>
      </c>
      <c r="AO67" s="13">
        <f t="shared" si="23"/>
        <v>1500000</v>
      </c>
      <c r="AP67" s="13">
        <v>368000</v>
      </c>
      <c r="AQ67" s="13">
        <v>0</v>
      </c>
      <c r="AR67" s="13">
        <f t="shared" si="24"/>
        <v>368000</v>
      </c>
      <c r="AS67" s="13">
        <v>37000</v>
      </c>
      <c r="AT67" s="13">
        <v>37000</v>
      </c>
      <c r="AU67" s="13">
        <f t="shared" si="12"/>
        <v>0</v>
      </c>
      <c r="AV67" s="13">
        <v>0</v>
      </c>
      <c r="AW67" s="13">
        <v>0</v>
      </c>
      <c r="AX67" s="13">
        <f t="shared" si="20"/>
        <v>0</v>
      </c>
      <c r="AY67" s="2">
        <f t="shared" si="13"/>
        <v>3666183</v>
      </c>
      <c r="AZ67" s="2">
        <f t="shared" si="13"/>
        <v>505347.11</v>
      </c>
      <c r="BA67" s="2">
        <f t="shared" si="2"/>
        <v>2792835.8899999997</v>
      </c>
      <c r="BB67" s="13">
        <v>2932900</v>
      </c>
      <c r="BC67" s="13">
        <v>0</v>
      </c>
      <c r="BD67" s="13">
        <f t="shared" si="14"/>
        <v>2932900</v>
      </c>
      <c r="BE67" s="2">
        <f t="shared" si="27"/>
        <v>8574103</v>
      </c>
      <c r="BF67" s="2">
        <f t="shared" si="26"/>
        <v>1092012.8799999999</v>
      </c>
      <c r="BG67" s="2">
        <f t="shared" si="15"/>
        <v>7482090.1200000001</v>
      </c>
      <c r="BH67" s="13">
        <v>277000</v>
      </c>
      <c r="BI67" s="13"/>
      <c r="BJ67" s="13">
        <f t="shared" si="21"/>
        <v>277000</v>
      </c>
    </row>
    <row r="68" spans="1:62" x14ac:dyDescent="0.55000000000000004">
      <c r="A68" s="11">
        <v>60</v>
      </c>
      <c r="B68" s="12" t="s">
        <v>64</v>
      </c>
      <c r="C68" s="19">
        <f>531480+90000</f>
        <v>621480</v>
      </c>
      <c r="D68" s="19">
        <v>291199.3</v>
      </c>
      <c r="E68" s="21">
        <f t="shared" si="4"/>
        <v>330280.7</v>
      </c>
      <c r="F68" s="13">
        <f t="shared" si="25"/>
        <v>200000</v>
      </c>
      <c r="G68" s="13">
        <v>130408.47</v>
      </c>
      <c r="H68" s="13">
        <f t="shared" si="5"/>
        <v>69591.53</v>
      </c>
      <c r="I68" s="13">
        <f>280800+18000+3750</f>
        <v>302550</v>
      </c>
      <c r="J68" s="13">
        <f>116157.98+10390</f>
        <v>126547.98</v>
      </c>
      <c r="K68" s="13">
        <f t="shared" si="6"/>
        <v>176002.02000000002</v>
      </c>
      <c r="L68" s="13">
        <f>144000+600000+44000</f>
        <v>788000</v>
      </c>
      <c r="M68" s="13"/>
      <c r="N68" s="13">
        <f t="shared" si="7"/>
        <v>788000</v>
      </c>
      <c r="O68" s="2">
        <f t="shared" si="16"/>
        <v>1290550</v>
      </c>
      <c r="P68" s="2">
        <f t="shared" si="0"/>
        <v>256956.45</v>
      </c>
      <c r="Q68" s="2">
        <f t="shared" si="8"/>
        <v>1033593.55</v>
      </c>
      <c r="R68" s="13">
        <v>20000</v>
      </c>
      <c r="S68" s="13">
        <v>0</v>
      </c>
      <c r="T68" s="13">
        <f t="shared" si="17"/>
        <v>20000</v>
      </c>
      <c r="U68" s="13">
        <v>190000</v>
      </c>
      <c r="V68" s="13">
        <v>140000</v>
      </c>
      <c r="W68" s="13">
        <f t="shared" si="18"/>
        <v>50000</v>
      </c>
      <c r="X68" s="13">
        <v>0</v>
      </c>
      <c r="Y68" s="13">
        <v>0</v>
      </c>
      <c r="Z68" s="13">
        <f t="shared" si="9"/>
        <v>0</v>
      </c>
      <c r="AA68" s="13">
        <v>90000</v>
      </c>
      <c r="AB68" s="13">
        <v>22900</v>
      </c>
      <c r="AC68" s="13">
        <f t="shared" si="19"/>
        <v>67100</v>
      </c>
      <c r="AD68" s="13">
        <v>600000</v>
      </c>
      <c r="AE68" s="13">
        <v>0</v>
      </c>
      <c r="AF68" s="13">
        <f t="shared" si="10"/>
        <v>600000</v>
      </c>
      <c r="AG68" s="13">
        <v>1012900</v>
      </c>
      <c r="AH68" s="13">
        <v>153916.73000000001</v>
      </c>
      <c r="AI68" s="13">
        <f t="shared" si="22"/>
        <v>858983.27</v>
      </c>
      <c r="AJ68" s="13">
        <v>130800</v>
      </c>
      <c r="AK68" s="13">
        <v>2306.9899999999998</v>
      </c>
      <c r="AL68" s="13">
        <f t="shared" si="11"/>
        <v>128493.01</v>
      </c>
      <c r="AM68" s="13">
        <v>1500000</v>
      </c>
      <c r="AN68" s="13">
        <v>0</v>
      </c>
      <c r="AO68" s="13">
        <f t="shared" si="23"/>
        <v>1500000</v>
      </c>
      <c r="AP68" s="13">
        <v>368000</v>
      </c>
      <c r="AQ68" s="13">
        <v>0</v>
      </c>
      <c r="AR68" s="13">
        <f t="shared" si="24"/>
        <v>368000</v>
      </c>
      <c r="AS68" s="13">
        <v>37000</v>
      </c>
      <c r="AT68" s="13">
        <v>30700</v>
      </c>
      <c r="AU68" s="13">
        <f t="shared" si="12"/>
        <v>6300</v>
      </c>
      <c r="AV68" s="13">
        <v>0</v>
      </c>
      <c r="AW68" s="13">
        <v>0</v>
      </c>
      <c r="AX68" s="13">
        <f t="shared" si="20"/>
        <v>0</v>
      </c>
      <c r="AY68" s="2">
        <f t="shared" si="13"/>
        <v>3928700</v>
      </c>
      <c r="AZ68" s="2">
        <f t="shared" si="13"/>
        <v>349823.72</v>
      </c>
      <c r="BA68" s="2">
        <f t="shared" si="2"/>
        <v>3204576.2800000003</v>
      </c>
      <c r="BB68" s="13">
        <v>7410800</v>
      </c>
      <c r="BC68" s="13">
        <v>0</v>
      </c>
      <c r="BD68" s="13">
        <f t="shared" si="14"/>
        <v>7410800</v>
      </c>
      <c r="BE68" s="2">
        <f t="shared" si="27"/>
        <v>13271530</v>
      </c>
      <c r="BF68" s="2">
        <f t="shared" si="26"/>
        <v>897979.47</v>
      </c>
      <c r="BG68" s="2">
        <f t="shared" si="15"/>
        <v>12373550.529999999</v>
      </c>
      <c r="BH68" s="13">
        <v>722000</v>
      </c>
      <c r="BI68" s="13"/>
      <c r="BJ68" s="13">
        <f t="shared" si="21"/>
        <v>722000</v>
      </c>
    </row>
    <row r="69" spans="1:62" x14ac:dyDescent="0.55000000000000004">
      <c r="A69" s="11">
        <v>61</v>
      </c>
      <c r="B69" s="12" t="s">
        <v>65</v>
      </c>
      <c r="C69" s="19">
        <v>545100</v>
      </c>
      <c r="D69" s="19">
        <v>272550</v>
      </c>
      <c r="E69" s="21">
        <f t="shared" si="4"/>
        <v>272550</v>
      </c>
      <c r="F69" s="13">
        <f t="shared" si="25"/>
        <v>200000</v>
      </c>
      <c r="G69" s="13">
        <v>126075.07</v>
      </c>
      <c r="H69" s="13">
        <f t="shared" si="5"/>
        <v>73924.929999999993</v>
      </c>
      <c r="I69" s="13">
        <f>63000+18000</f>
        <v>81000</v>
      </c>
      <c r="J69" s="13">
        <v>40500</v>
      </c>
      <c r="K69" s="13">
        <f t="shared" si="6"/>
        <v>40500</v>
      </c>
      <c r="L69" s="13">
        <f>264000+55468+898000+16124+3100+29000+89000+47290+46370</f>
        <v>1448352</v>
      </c>
      <c r="M69" s="13">
        <v>469797.22</v>
      </c>
      <c r="N69" s="13">
        <f t="shared" si="7"/>
        <v>978554.78</v>
      </c>
      <c r="O69" s="2">
        <f t="shared" si="16"/>
        <v>1729352</v>
      </c>
      <c r="P69" s="2">
        <f t="shared" si="0"/>
        <v>636372.29</v>
      </c>
      <c r="Q69" s="2">
        <f t="shared" si="8"/>
        <v>1092979.71</v>
      </c>
      <c r="R69" s="13">
        <v>20000</v>
      </c>
      <c r="S69" s="13">
        <v>0</v>
      </c>
      <c r="T69" s="13">
        <f t="shared" si="17"/>
        <v>20000</v>
      </c>
      <c r="U69" s="13">
        <f>190000+250000</f>
        <v>440000</v>
      </c>
      <c r="V69" s="13">
        <v>170000</v>
      </c>
      <c r="W69" s="13">
        <f t="shared" si="18"/>
        <v>270000</v>
      </c>
      <c r="X69" s="13">
        <v>0</v>
      </c>
      <c r="Y69" s="13">
        <v>0</v>
      </c>
      <c r="Z69" s="13">
        <f t="shared" si="9"/>
        <v>0</v>
      </c>
      <c r="AA69" s="13">
        <v>90000</v>
      </c>
      <c r="AB69" s="13">
        <v>29105</v>
      </c>
      <c r="AC69" s="13">
        <f t="shared" si="19"/>
        <v>60895</v>
      </c>
      <c r="AD69" s="13">
        <v>708800</v>
      </c>
      <c r="AE69" s="13">
        <v>0</v>
      </c>
      <c r="AF69" s="13">
        <f t="shared" si="10"/>
        <v>708800</v>
      </c>
      <c r="AG69" s="13">
        <v>1012900</v>
      </c>
      <c r="AH69" s="13">
        <v>147925.98000000001</v>
      </c>
      <c r="AI69" s="13">
        <f t="shared" si="22"/>
        <v>864974.02</v>
      </c>
      <c r="AJ69" s="13">
        <v>130800</v>
      </c>
      <c r="AK69" s="13">
        <v>0</v>
      </c>
      <c r="AL69" s="13">
        <f t="shared" si="11"/>
        <v>130800</v>
      </c>
      <c r="AM69" s="13">
        <v>1500000</v>
      </c>
      <c r="AN69" s="13">
        <v>0</v>
      </c>
      <c r="AO69" s="13">
        <f t="shared" si="23"/>
        <v>1500000</v>
      </c>
      <c r="AP69" s="13">
        <v>368000</v>
      </c>
      <c r="AQ69" s="13">
        <v>0</v>
      </c>
      <c r="AR69" s="13">
        <f t="shared" si="24"/>
        <v>368000</v>
      </c>
      <c r="AS69" s="13">
        <v>37000</v>
      </c>
      <c r="AT69" s="13">
        <v>37000</v>
      </c>
      <c r="AU69" s="13">
        <f t="shared" si="12"/>
        <v>0</v>
      </c>
      <c r="AV69" s="13">
        <v>0</v>
      </c>
      <c r="AW69" s="13">
        <v>0</v>
      </c>
      <c r="AX69" s="13">
        <f t="shared" si="20"/>
        <v>0</v>
      </c>
      <c r="AY69" s="2">
        <f t="shared" si="13"/>
        <v>4287500</v>
      </c>
      <c r="AZ69" s="2">
        <f t="shared" si="13"/>
        <v>384030.98</v>
      </c>
      <c r="BA69" s="2">
        <f t="shared" si="2"/>
        <v>3535469.02</v>
      </c>
      <c r="BB69" s="13">
        <v>7476400</v>
      </c>
      <c r="BC69" s="13">
        <v>0</v>
      </c>
      <c r="BD69" s="13">
        <f t="shared" si="14"/>
        <v>7476400</v>
      </c>
      <c r="BE69" s="2">
        <f t="shared" si="27"/>
        <v>14058352</v>
      </c>
      <c r="BF69" s="2">
        <f t="shared" si="26"/>
        <v>1292953.27</v>
      </c>
      <c r="BG69" s="2">
        <f t="shared" si="15"/>
        <v>12765398.73</v>
      </c>
      <c r="BH69" s="13">
        <v>722000</v>
      </c>
      <c r="BI69" s="13"/>
      <c r="BJ69" s="13">
        <f t="shared" si="21"/>
        <v>722000</v>
      </c>
    </row>
    <row r="70" spans="1:62" x14ac:dyDescent="0.55000000000000004">
      <c r="A70" s="11">
        <v>62</v>
      </c>
      <c r="B70" s="12" t="s">
        <v>66</v>
      </c>
      <c r="C70" s="19">
        <v>656760</v>
      </c>
      <c r="D70" s="19">
        <v>306090</v>
      </c>
      <c r="E70" s="21">
        <f t="shared" si="4"/>
        <v>350670</v>
      </c>
      <c r="F70" s="13">
        <f t="shared" si="25"/>
        <v>200000</v>
      </c>
      <c r="G70" s="13">
        <v>107482.75</v>
      </c>
      <c r="H70" s="13">
        <f t="shared" si="5"/>
        <v>92517.25</v>
      </c>
      <c r="I70" s="13">
        <f>94800+22500+16000</f>
        <v>133300</v>
      </c>
      <c r="J70" s="13">
        <v>42100</v>
      </c>
      <c r="K70" s="13">
        <f t="shared" si="6"/>
        <v>91200</v>
      </c>
      <c r="L70" s="13">
        <f>84000+264000+80000+7924+27000+887904+54980</f>
        <v>1405808</v>
      </c>
      <c r="M70" s="13">
        <v>203191.31</v>
      </c>
      <c r="N70" s="13">
        <f t="shared" si="7"/>
        <v>1202616.69</v>
      </c>
      <c r="O70" s="2">
        <f t="shared" si="16"/>
        <v>1739108</v>
      </c>
      <c r="P70" s="2">
        <f t="shared" si="0"/>
        <v>352774.06</v>
      </c>
      <c r="Q70" s="2">
        <f t="shared" si="8"/>
        <v>1386333.94</v>
      </c>
      <c r="R70" s="13">
        <v>20000</v>
      </c>
      <c r="S70" s="13">
        <v>0</v>
      </c>
      <c r="T70" s="13">
        <f t="shared" si="17"/>
        <v>20000</v>
      </c>
      <c r="U70" s="13">
        <v>490000</v>
      </c>
      <c r="V70" s="13">
        <v>490000</v>
      </c>
      <c r="W70" s="13">
        <f t="shared" si="18"/>
        <v>0</v>
      </c>
      <c r="X70" s="13">
        <v>0</v>
      </c>
      <c r="Y70" s="13">
        <v>0</v>
      </c>
      <c r="Z70" s="13">
        <f t="shared" si="9"/>
        <v>0</v>
      </c>
      <c r="AA70" s="13">
        <v>90000</v>
      </c>
      <c r="AB70" s="13">
        <v>38000</v>
      </c>
      <c r="AC70" s="13">
        <f t="shared" si="19"/>
        <v>52000</v>
      </c>
      <c r="AD70" s="13">
        <v>317375</v>
      </c>
      <c r="AE70" s="13">
        <v>0</v>
      </c>
      <c r="AF70" s="13">
        <f t="shared" si="10"/>
        <v>317375</v>
      </c>
      <c r="AG70" s="13">
        <v>1012900</v>
      </c>
      <c r="AH70" s="13">
        <v>139579.42000000001</v>
      </c>
      <c r="AI70" s="13">
        <f t="shared" si="22"/>
        <v>873320.58</v>
      </c>
      <c r="AJ70" s="13">
        <v>220800</v>
      </c>
      <c r="AK70" s="13">
        <v>5227.9399999999996</v>
      </c>
      <c r="AL70" s="13">
        <f t="shared" si="11"/>
        <v>215572.06</v>
      </c>
      <c r="AM70" s="13">
        <v>1500000</v>
      </c>
      <c r="AN70" s="13">
        <v>0</v>
      </c>
      <c r="AO70" s="13">
        <f t="shared" si="23"/>
        <v>1500000</v>
      </c>
      <c r="AP70" s="13">
        <v>316800</v>
      </c>
      <c r="AQ70" s="13">
        <v>0</v>
      </c>
      <c r="AR70" s="13">
        <f t="shared" si="24"/>
        <v>316800</v>
      </c>
      <c r="AS70" s="13">
        <v>37000</v>
      </c>
      <c r="AT70" s="13">
        <v>37000</v>
      </c>
      <c r="AU70" s="13">
        <f t="shared" si="12"/>
        <v>0</v>
      </c>
      <c r="AV70" s="13">
        <v>391285</v>
      </c>
      <c r="AW70" s="13">
        <v>391285</v>
      </c>
      <c r="AX70" s="13">
        <f t="shared" si="20"/>
        <v>0</v>
      </c>
      <c r="AY70" s="2">
        <f t="shared" si="13"/>
        <v>4376160</v>
      </c>
      <c r="AZ70" s="2">
        <f t="shared" si="13"/>
        <v>1101092.3599999999</v>
      </c>
      <c r="BA70" s="2">
        <f t="shared" si="2"/>
        <v>2958267.64</v>
      </c>
      <c r="BB70" s="13">
        <v>2011000</v>
      </c>
      <c r="BC70" s="13">
        <v>0</v>
      </c>
      <c r="BD70" s="13">
        <f t="shared" si="14"/>
        <v>2011000</v>
      </c>
      <c r="BE70" s="2">
        <f t="shared" si="27"/>
        <v>8803028</v>
      </c>
      <c r="BF70" s="2">
        <f t="shared" si="26"/>
        <v>1759956.42</v>
      </c>
      <c r="BG70" s="2">
        <f t="shared" si="15"/>
        <v>7043071.5800000001</v>
      </c>
      <c r="BH70" s="13">
        <v>2057000</v>
      </c>
      <c r="BI70" s="13"/>
      <c r="BJ70" s="13">
        <f t="shared" si="21"/>
        <v>2057000</v>
      </c>
    </row>
    <row r="71" spans="1:62" x14ac:dyDescent="0.55000000000000004">
      <c r="A71" s="11">
        <v>63</v>
      </c>
      <c r="B71" s="12" t="s">
        <v>67</v>
      </c>
      <c r="C71" s="19">
        <f>399540</f>
        <v>399540</v>
      </c>
      <c r="D71" s="19">
        <v>199770</v>
      </c>
      <c r="E71" s="21">
        <f t="shared" si="4"/>
        <v>199770</v>
      </c>
      <c r="F71" s="13">
        <f t="shared" si="25"/>
        <v>200000</v>
      </c>
      <c r="G71" s="13">
        <v>94290.51</v>
      </c>
      <c r="H71" s="13">
        <f t="shared" si="5"/>
        <v>105709.49</v>
      </c>
      <c r="I71" s="13">
        <f>13500+45000</f>
        <v>58500</v>
      </c>
      <c r="J71" s="13">
        <f>22500+6750</f>
        <v>29250</v>
      </c>
      <c r="K71" s="13">
        <f t="shared" si="6"/>
        <v>29250</v>
      </c>
      <c r="L71" s="13">
        <f>114000+980000+261000</f>
        <v>1355000</v>
      </c>
      <c r="M71" s="13">
        <v>261248.65</v>
      </c>
      <c r="N71" s="13">
        <f t="shared" si="7"/>
        <v>1093751.3500000001</v>
      </c>
      <c r="O71" s="2">
        <f t="shared" si="16"/>
        <v>1613500</v>
      </c>
      <c r="P71" s="2">
        <f t="shared" si="0"/>
        <v>384789.16</v>
      </c>
      <c r="Q71" s="2">
        <f t="shared" si="8"/>
        <v>1228710.8400000001</v>
      </c>
      <c r="R71" s="13">
        <v>20000</v>
      </c>
      <c r="S71" s="13">
        <v>0</v>
      </c>
      <c r="T71" s="13">
        <f t="shared" si="17"/>
        <v>20000</v>
      </c>
      <c r="U71" s="13">
        <f>190000+241900</f>
        <v>431900</v>
      </c>
      <c r="V71" s="13">
        <v>190000</v>
      </c>
      <c r="W71" s="13">
        <f t="shared" si="18"/>
        <v>241900</v>
      </c>
      <c r="X71" s="13">
        <v>0</v>
      </c>
      <c r="Y71" s="13">
        <v>0</v>
      </c>
      <c r="Z71" s="13">
        <f t="shared" si="9"/>
        <v>0</v>
      </c>
      <c r="AA71" s="13">
        <v>90000</v>
      </c>
      <c r="AB71" s="13">
        <v>50000</v>
      </c>
      <c r="AC71" s="13">
        <f t="shared" si="19"/>
        <v>40000</v>
      </c>
      <c r="AD71" s="13">
        <v>304400</v>
      </c>
      <c r="AE71" s="13">
        <v>0</v>
      </c>
      <c r="AF71" s="13">
        <f t="shared" si="10"/>
        <v>304400</v>
      </c>
      <c r="AG71" s="13">
        <v>1012900</v>
      </c>
      <c r="AH71" s="13">
        <v>287241</v>
      </c>
      <c r="AI71" s="13">
        <f t="shared" si="22"/>
        <v>725659</v>
      </c>
      <c r="AJ71" s="13">
        <v>130800</v>
      </c>
      <c r="AK71" s="13">
        <v>3746.07</v>
      </c>
      <c r="AL71" s="13">
        <f t="shared" si="11"/>
        <v>127053.93</v>
      </c>
      <c r="AM71" s="13">
        <v>1500000</v>
      </c>
      <c r="AN71" s="13">
        <v>0</v>
      </c>
      <c r="AO71" s="13">
        <f t="shared" si="23"/>
        <v>1500000</v>
      </c>
      <c r="AP71" s="13">
        <v>368000</v>
      </c>
      <c r="AQ71" s="13">
        <v>368000</v>
      </c>
      <c r="AR71" s="13">
        <f t="shared" si="24"/>
        <v>0</v>
      </c>
      <c r="AS71" s="13">
        <v>37000</v>
      </c>
      <c r="AT71" s="13">
        <v>37000</v>
      </c>
      <c r="AU71" s="13">
        <f t="shared" si="12"/>
        <v>0</v>
      </c>
      <c r="AV71" s="13">
        <v>0</v>
      </c>
      <c r="AW71" s="13">
        <v>0</v>
      </c>
      <c r="AX71" s="13">
        <f t="shared" si="20"/>
        <v>0</v>
      </c>
      <c r="AY71" s="2">
        <f t="shared" si="13"/>
        <v>3875000</v>
      </c>
      <c r="AZ71" s="2">
        <f t="shared" si="13"/>
        <v>935987.07</v>
      </c>
      <c r="BA71" s="2">
        <f t="shared" si="2"/>
        <v>2939012.9299999997</v>
      </c>
      <c r="BB71" s="13">
        <v>698400</v>
      </c>
      <c r="BC71" s="13">
        <v>0</v>
      </c>
      <c r="BD71" s="13">
        <f t="shared" si="14"/>
        <v>698400</v>
      </c>
      <c r="BE71" s="2">
        <f t="shared" si="27"/>
        <v>6606440</v>
      </c>
      <c r="BF71" s="2">
        <f t="shared" si="26"/>
        <v>1520546.23</v>
      </c>
      <c r="BG71" s="2">
        <f t="shared" si="15"/>
        <v>5085893.7699999996</v>
      </c>
      <c r="BH71" s="13">
        <v>722000</v>
      </c>
      <c r="BI71" s="13"/>
      <c r="BJ71" s="13">
        <f t="shared" si="21"/>
        <v>722000</v>
      </c>
    </row>
    <row r="72" spans="1:62" x14ac:dyDescent="0.55000000000000004">
      <c r="A72" s="11">
        <v>64</v>
      </c>
      <c r="B72" s="12" t="s">
        <v>68</v>
      </c>
      <c r="C72" s="19">
        <v>288600</v>
      </c>
      <c r="D72" s="19">
        <v>201800</v>
      </c>
      <c r="E72" s="21">
        <f t="shared" si="4"/>
        <v>86800</v>
      </c>
      <c r="F72" s="13">
        <f t="shared" si="25"/>
        <v>200000</v>
      </c>
      <c r="G72" s="13">
        <v>136976.82999999999</v>
      </c>
      <c r="H72" s="13">
        <f t="shared" si="5"/>
        <v>63023.170000000013</v>
      </c>
      <c r="I72" s="13">
        <f>150000+9000</f>
        <v>159000</v>
      </c>
      <c r="J72" s="13">
        <f>38500+19000</f>
        <v>57500</v>
      </c>
      <c r="K72" s="13">
        <f t="shared" si="6"/>
        <v>101500</v>
      </c>
      <c r="L72" s="13">
        <f>123000+798000+33000+91629</f>
        <v>1045629</v>
      </c>
      <c r="M72" s="13">
        <v>340254.9</v>
      </c>
      <c r="N72" s="13">
        <f t="shared" si="7"/>
        <v>705374.1</v>
      </c>
      <c r="O72" s="2">
        <f t="shared" si="16"/>
        <v>1404629</v>
      </c>
      <c r="P72" s="2">
        <f t="shared" si="16"/>
        <v>534731.73</v>
      </c>
      <c r="Q72" s="2">
        <f t="shared" si="8"/>
        <v>869897.27</v>
      </c>
      <c r="R72" s="13">
        <v>20000</v>
      </c>
      <c r="S72" s="13">
        <v>0</v>
      </c>
      <c r="T72" s="13">
        <f t="shared" si="17"/>
        <v>20000</v>
      </c>
      <c r="U72" s="13">
        <v>190000</v>
      </c>
      <c r="V72" s="13">
        <v>150000</v>
      </c>
      <c r="W72" s="13">
        <f t="shared" si="18"/>
        <v>40000</v>
      </c>
      <c r="X72" s="13">
        <v>0</v>
      </c>
      <c r="Y72" s="13">
        <v>0</v>
      </c>
      <c r="Z72" s="13">
        <f t="shared" si="9"/>
        <v>0</v>
      </c>
      <c r="AA72" s="13">
        <v>90000</v>
      </c>
      <c r="AB72" s="13"/>
      <c r="AC72" s="13">
        <f t="shared" si="19"/>
        <v>90000</v>
      </c>
      <c r="AD72" s="13">
        <v>588400</v>
      </c>
      <c r="AE72" s="13">
        <v>0</v>
      </c>
      <c r="AF72" s="13">
        <f t="shared" si="10"/>
        <v>588400</v>
      </c>
      <c r="AG72" s="13">
        <v>1012900</v>
      </c>
      <c r="AH72" s="13">
        <v>226274.24</v>
      </c>
      <c r="AI72" s="13">
        <f t="shared" si="22"/>
        <v>786625.76</v>
      </c>
      <c r="AJ72" s="13">
        <v>130800</v>
      </c>
      <c r="AK72" s="13">
        <v>2500</v>
      </c>
      <c r="AL72" s="13">
        <f t="shared" si="11"/>
        <v>128300</v>
      </c>
      <c r="AM72" s="13">
        <v>1500000</v>
      </c>
      <c r="AN72" s="13">
        <v>0</v>
      </c>
      <c r="AO72" s="13">
        <f t="shared" si="23"/>
        <v>1500000</v>
      </c>
      <c r="AP72" s="13">
        <v>368000</v>
      </c>
      <c r="AQ72" s="13">
        <v>0</v>
      </c>
      <c r="AR72" s="13">
        <f t="shared" si="24"/>
        <v>368000</v>
      </c>
      <c r="AS72" s="13">
        <v>37000</v>
      </c>
      <c r="AT72" s="13">
        <v>37000</v>
      </c>
      <c r="AU72" s="13">
        <f t="shared" si="12"/>
        <v>0</v>
      </c>
      <c r="AV72" s="13">
        <v>0</v>
      </c>
      <c r="AW72" s="13">
        <v>0</v>
      </c>
      <c r="AX72" s="13">
        <f t="shared" si="20"/>
        <v>0</v>
      </c>
      <c r="AY72" s="2">
        <f t="shared" si="13"/>
        <v>3917100</v>
      </c>
      <c r="AZ72" s="2">
        <f t="shared" si="13"/>
        <v>415774.24</v>
      </c>
      <c r="BA72" s="2">
        <f t="shared" si="2"/>
        <v>3133325.76</v>
      </c>
      <c r="BB72" s="13">
        <v>80535200</v>
      </c>
      <c r="BC72" s="13">
        <v>45677480</v>
      </c>
      <c r="BD72" s="13">
        <f t="shared" si="14"/>
        <v>34857720</v>
      </c>
      <c r="BE72" s="2">
        <f t="shared" si="27"/>
        <v>86165529</v>
      </c>
      <c r="BF72" s="2">
        <f t="shared" ref="BF72:BF84" si="28">SUM(P72+S72+AZ72+BC72+D72)</f>
        <v>46829785.969999999</v>
      </c>
      <c r="BG72" s="2">
        <f t="shared" si="15"/>
        <v>39335743.030000001</v>
      </c>
      <c r="BH72" s="13">
        <v>722000</v>
      </c>
      <c r="BI72" s="13"/>
      <c r="BJ72" s="13">
        <f t="shared" si="21"/>
        <v>722000</v>
      </c>
    </row>
    <row r="73" spans="1:62" x14ac:dyDescent="0.55000000000000004">
      <c r="A73" s="11">
        <v>65</v>
      </c>
      <c r="B73" s="12" t="s">
        <v>69</v>
      </c>
      <c r="C73" s="19">
        <v>822540</v>
      </c>
      <c r="D73" s="19">
        <v>411270</v>
      </c>
      <c r="E73" s="21">
        <f t="shared" si="4"/>
        <v>411270</v>
      </c>
      <c r="F73" s="13">
        <f t="shared" si="25"/>
        <v>200000</v>
      </c>
      <c r="G73" s="13">
        <v>3150</v>
      </c>
      <c r="H73" s="13">
        <f t="shared" si="5"/>
        <v>196850</v>
      </c>
      <c r="I73" s="13">
        <f>48000+87000+27000</f>
        <v>162000</v>
      </c>
      <c r="J73" s="13">
        <f>39500+13500</f>
        <v>53000</v>
      </c>
      <c r="K73" s="13">
        <f t="shared" si="6"/>
        <v>109000</v>
      </c>
      <c r="L73" s="13">
        <f>114000+500000+16448+34000</f>
        <v>664448</v>
      </c>
      <c r="M73" s="13">
        <v>211965.6</v>
      </c>
      <c r="N73" s="13">
        <f t="shared" si="7"/>
        <v>452482.4</v>
      </c>
      <c r="O73" s="2">
        <f t="shared" si="16"/>
        <v>1026448</v>
      </c>
      <c r="P73" s="2">
        <f t="shared" si="16"/>
        <v>268115.59999999998</v>
      </c>
      <c r="Q73" s="2">
        <f t="shared" si="8"/>
        <v>758332.4</v>
      </c>
      <c r="R73" s="13">
        <v>20000</v>
      </c>
      <c r="S73" s="13">
        <v>0</v>
      </c>
      <c r="T73" s="13">
        <f t="shared" si="17"/>
        <v>20000</v>
      </c>
      <c r="U73" s="13">
        <v>90000</v>
      </c>
      <c r="V73" s="13">
        <v>58018</v>
      </c>
      <c r="W73" s="13">
        <f t="shared" si="18"/>
        <v>31982</v>
      </c>
      <c r="X73" s="13">
        <v>0</v>
      </c>
      <c r="Y73" s="13">
        <v>0</v>
      </c>
      <c r="Z73" s="13">
        <f t="shared" si="9"/>
        <v>0</v>
      </c>
      <c r="AA73" s="13">
        <v>90000</v>
      </c>
      <c r="AB73" s="13">
        <v>31000</v>
      </c>
      <c r="AC73" s="13">
        <f t="shared" si="19"/>
        <v>59000</v>
      </c>
      <c r="AD73" s="13">
        <v>383500</v>
      </c>
      <c r="AE73" s="13">
        <v>0</v>
      </c>
      <c r="AF73" s="13">
        <f t="shared" si="10"/>
        <v>383500</v>
      </c>
      <c r="AG73" s="13">
        <v>1012900</v>
      </c>
      <c r="AH73" s="13">
        <v>224842.19</v>
      </c>
      <c r="AI73" s="13">
        <f t="shared" si="22"/>
        <v>788057.81</v>
      </c>
      <c r="AJ73" s="13">
        <v>100800</v>
      </c>
      <c r="AK73" s="13">
        <v>0</v>
      </c>
      <c r="AL73" s="13">
        <f t="shared" si="11"/>
        <v>100800</v>
      </c>
      <c r="AM73" s="13">
        <v>1500000</v>
      </c>
      <c r="AN73" s="13">
        <v>0</v>
      </c>
      <c r="AO73" s="13">
        <f t="shared" si="23"/>
        <v>1500000</v>
      </c>
      <c r="AP73" s="13">
        <v>316800</v>
      </c>
      <c r="AQ73" s="13">
        <v>0</v>
      </c>
      <c r="AR73" s="13">
        <f t="shared" si="24"/>
        <v>316800</v>
      </c>
      <c r="AS73" s="13">
        <v>37000</v>
      </c>
      <c r="AT73" s="13">
        <v>37000</v>
      </c>
      <c r="AU73" s="13">
        <f t="shared" si="12"/>
        <v>0</v>
      </c>
      <c r="AV73" s="13">
        <v>0</v>
      </c>
      <c r="AW73" s="13">
        <v>0</v>
      </c>
      <c r="AX73" s="13">
        <f t="shared" si="20"/>
        <v>0</v>
      </c>
      <c r="AY73" s="2">
        <f t="shared" si="13"/>
        <v>3531000</v>
      </c>
      <c r="AZ73" s="2">
        <f t="shared" si="13"/>
        <v>350860.19</v>
      </c>
      <c r="BA73" s="2">
        <f t="shared" ref="BA73:BA84" si="29">SUM(W73+Z73+AC73+AF73+AI73+AL73+AO73)</f>
        <v>2863339.81</v>
      </c>
      <c r="BB73" s="13">
        <v>65155800</v>
      </c>
      <c r="BC73" s="13">
        <v>497500</v>
      </c>
      <c r="BD73" s="13">
        <f t="shared" si="14"/>
        <v>64658300</v>
      </c>
      <c r="BE73" s="2">
        <f t="shared" ref="BE73:BE84" si="30">SUM(O73+R73+AY73+BB73+C73)</f>
        <v>70555788</v>
      </c>
      <c r="BF73" s="2">
        <f t="shared" si="28"/>
        <v>1527745.79</v>
      </c>
      <c r="BG73" s="2">
        <f t="shared" si="15"/>
        <v>69028042.209999993</v>
      </c>
      <c r="BH73" s="13">
        <v>277000</v>
      </c>
      <c r="BI73" s="13"/>
      <c r="BJ73" s="13">
        <f t="shared" si="21"/>
        <v>277000</v>
      </c>
    </row>
    <row r="74" spans="1:62" x14ac:dyDescent="0.55000000000000004">
      <c r="A74" s="11">
        <v>66</v>
      </c>
      <c r="B74" s="12" t="s">
        <v>70</v>
      </c>
      <c r="C74" s="19">
        <v>662520</v>
      </c>
      <c r="D74" s="19">
        <v>331260</v>
      </c>
      <c r="E74" s="21">
        <f t="shared" ref="E74:E84" si="31">SUM(C74-D74)</f>
        <v>331260</v>
      </c>
      <c r="F74" s="13">
        <f t="shared" si="25"/>
        <v>200000</v>
      </c>
      <c r="G74" s="13">
        <v>153015.60999999999</v>
      </c>
      <c r="H74" s="13">
        <f t="shared" ref="H74:H84" si="32">SUM(F74-G74)</f>
        <v>46984.390000000014</v>
      </c>
      <c r="I74" s="13">
        <f>84000+66000+40000+22500</f>
        <v>212500</v>
      </c>
      <c r="J74" s="13">
        <f>59000+11250</f>
        <v>70250</v>
      </c>
      <c r="K74" s="13">
        <f t="shared" ref="K74:K84" si="33">SUM(I74-J74)</f>
        <v>142250</v>
      </c>
      <c r="L74" s="13">
        <f>222000+53500+1230720+269000+120000+33000+35000</f>
        <v>1963220</v>
      </c>
      <c r="M74" s="13">
        <v>529495.63</v>
      </c>
      <c r="N74" s="13">
        <f t="shared" ref="N74:N84" si="34">SUM(L74-M74)</f>
        <v>1433724.37</v>
      </c>
      <c r="O74" s="2">
        <f t="shared" si="16"/>
        <v>2375720</v>
      </c>
      <c r="P74" s="2">
        <f t="shared" si="16"/>
        <v>752761.24</v>
      </c>
      <c r="Q74" s="2">
        <f t="shared" ref="Q74:Q84" si="35">SUM(O74-P74)</f>
        <v>1622958.76</v>
      </c>
      <c r="R74" s="13">
        <v>20000</v>
      </c>
      <c r="S74" s="13">
        <v>20000</v>
      </c>
      <c r="T74" s="13">
        <f t="shared" si="17"/>
        <v>0</v>
      </c>
      <c r="U74" s="13">
        <v>410000</v>
      </c>
      <c r="V74" s="13">
        <v>410000</v>
      </c>
      <c r="W74" s="13">
        <f t="shared" si="18"/>
        <v>0</v>
      </c>
      <c r="X74" s="13">
        <v>0</v>
      </c>
      <c r="Y74" s="13">
        <v>0</v>
      </c>
      <c r="Z74" s="13">
        <f t="shared" ref="Z74:Z84" si="36">SUM(X74-Y74)</f>
        <v>0</v>
      </c>
      <c r="AA74" s="13">
        <v>90000</v>
      </c>
      <c r="AB74" s="13">
        <v>50000</v>
      </c>
      <c r="AC74" s="13">
        <f t="shared" si="19"/>
        <v>40000</v>
      </c>
      <c r="AD74" s="13">
        <v>102000</v>
      </c>
      <c r="AE74" s="13">
        <v>0</v>
      </c>
      <c r="AF74" s="13">
        <f t="shared" ref="AF74:AF84" si="37">SUM(AD74-AE74)</f>
        <v>102000</v>
      </c>
      <c r="AG74" s="13">
        <v>1012900</v>
      </c>
      <c r="AH74" s="13">
        <v>242233.86</v>
      </c>
      <c r="AI74" s="13">
        <f t="shared" si="22"/>
        <v>770666.14</v>
      </c>
      <c r="AJ74" s="13">
        <v>199860</v>
      </c>
      <c r="AK74" s="13">
        <v>33116.199999999997</v>
      </c>
      <c r="AL74" s="13">
        <f t="shared" ref="AL74:AL84" si="38">SUM(AJ74-AK74)</f>
        <v>166743.79999999999</v>
      </c>
      <c r="AM74" s="13">
        <v>1500000</v>
      </c>
      <c r="AN74" s="13">
        <v>0</v>
      </c>
      <c r="AO74" s="13">
        <f t="shared" si="23"/>
        <v>1500000</v>
      </c>
      <c r="AP74" s="13">
        <v>316800</v>
      </c>
      <c r="AQ74" s="13">
        <v>0</v>
      </c>
      <c r="AR74" s="13">
        <f t="shared" si="24"/>
        <v>316800</v>
      </c>
      <c r="AS74" s="13">
        <v>37000</v>
      </c>
      <c r="AT74" s="13">
        <v>37000</v>
      </c>
      <c r="AU74" s="13">
        <f t="shared" ref="AU74:AU84" si="39">SUM(AS74-AT74)</f>
        <v>0</v>
      </c>
      <c r="AV74" s="13">
        <v>0</v>
      </c>
      <c r="AW74" s="13">
        <v>0</v>
      </c>
      <c r="AX74" s="13">
        <f t="shared" si="20"/>
        <v>0</v>
      </c>
      <c r="AY74" s="2">
        <f t="shared" ref="AY74:AZ84" si="40">SUM(U74+X74+AA74+AD74+AG74+AJ74+AM74+AP74+AS74+AV74)</f>
        <v>3668560</v>
      </c>
      <c r="AZ74" s="2">
        <f t="shared" si="40"/>
        <v>772350.05999999994</v>
      </c>
      <c r="BA74" s="2">
        <f t="shared" si="29"/>
        <v>2579409.94</v>
      </c>
      <c r="BB74" s="13">
        <v>4474000</v>
      </c>
      <c r="BC74" s="13">
        <v>0</v>
      </c>
      <c r="BD74" s="13">
        <f t="shared" ref="BD74:BD84" si="41">SUM(BB74-BC74)</f>
        <v>4474000</v>
      </c>
      <c r="BE74" s="2">
        <f t="shared" si="30"/>
        <v>11200800</v>
      </c>
      <c r="BF74" s="2">
        <f t="shared" si="28"/>
        <v>1876371.2999999998</v>
      </c>
      <c r="BG74" s="2">
        <f t="shared" ref="BG74:BG84" si="42">SUM(BE74-BF74)</f>
        <v>9324428.6999999993</v>
      </c>
      <c r="BH74" s="13">
        <v>1701000</v>
      </c>
      <c r="BI74" s="13"/>
      <c r="BJ74" s="13">
        <f t="shared" si="21"/>
        <v>1701000</v>
      </c>
    </row>
    <row r="75" spans="1:62" x14ac:dyDescent="0.55000000000000004">
      <c r="A75" s="11">
        <v>67</v>
      </c>
      <c r="B75" s="12" t="s">
        <v>71</v>
      </c>
      <c r="C75" s="19">
        <v>388740</v>
      </c>
      <c r="D75" s="19">
        <v>194370</v>
      </c>
      <c r="E75" s="21">
        <f t="shared" si="31"/>
        <v>194370</v>
      </c>
      <c r="F75" s="13">
        <f t="shared" si="25"/>
        <v>200000</v>
      </c>
      <c r="G75" s="13">
        <v>60402.2</v>
      </c>
      <c r="H75" s="13">
        <f t="shared" si="32"/>
        <v>139597.79999999999</v>
      </c>
      <c r="I75" s="13">
        <f>228000+13500</f>
        <v>241500</v>
      </c>
      <c r="J75" s="13">
        <f>35000+70750</f>
        <v>105750</v>
      </c>
      <c r="K75" s="13">
        <f t="shared" si="33"/>
        <v>135750</v>
      </c>
      <c r="L75" s="13">
        <f>126000+70000+82390+1436400</f>
        <v>1714790</v>
      </c>
      <c r="M75" s="13">
        <v>106042.38</v>
      </c>
      <c r="N75" s="13">
        <f t="shared" si="34"/>
        <v>1608747.62</v>
      </c>
      <c r="O75" s="2">
        <f t="shared" ref="O75:O84" si="43">SUM(F75+I75+L75)</f>
        <v>2156290</v>
      </c>
      <c r="P75" s="2">
        <f t="shared" ref="P75:P84" si="44">SUM(G75+J75+M75)</f>
        <v>272194.58</v>
      </c>
      <c r="Q75" s="2">
        <f t="shared" si="35"/>
        <v>1884095.42</v>
      </c>
      <c r="R75" s="13">
        <v>20000</v>
      </c>
      <c r="S75" s="13">
        <v>0</v>
      </c>
      <c r="T75" s="13">
        <f t="shared" ref="T75:T84" si="45">SUM(R75-S75)</f>
        <v>20000</v>
      </c>
      <c r="U75" s="13">
        <v>130000</v>
      </c>
      <c r="V75" s="13">
        <v>130000</v>
      </c>
      <c r="W75" s="13">
        <f t="shared" ref="W75:W84" si="46">SUM(U75-V75)</f>
        <v>0</v>
      </c>
      <c r="X75" s="13">
        <v>0</v>
      </c>
      <c r="Y75" s="13">
        <v>0</v>
      </c>
      <c r="Z75" s="13">
        <f t="shared" si="36"/>
        <v>0</v>
      </c>
      <c r="AA75" s="13">
        <v>90000</v>
      </c>
      <c r="AB75" s="13">
        <v>7000</v>
      </c>
      <c r="AC75" s="13">
        <f t="shared" ref="AC75:AC84" si="47">SUM(AA75-AB75)</f>
        <v>83000</v>
      </c>
      <c r="AD75" s="13">
        <v>365500</v>
      </c>
      <c r="AE75" s="13">
        <v>0</v>
      </c>
      <c r="AF75" s="13">
        <f t="shared" si="37"/>
        <v>365500</v>
      </c>
      <c r="AG75" s="13">
        <v>1012900</v>
      </c>
      <c r="AH75" s="13"/>
      <c r="AI75" s="13">
        <f t="shared" si="22"/>
        <v>1012900</v>
      </c>
      <c r="AJ75" s="13">
        <v>112800</v>
      </c>
      <c r="AK75" s="13">
        <v>7837.05</v>
      </c>
      <c r="AL75" s="13">
        <f t="shared" si="38"/>
        <v>104962.95</v>
      </c>
      <c r="AM75" s="13">
        <v>1500000</v>
      </c>
      <c r="AN75" s="13">
        <v>0</v>
      </c>
      <c r="AO75" s="13">
        <f t="shared" si="23"/>
        <v>1500000</v>
      </c>
      <c r="AP75" s="13">
        <v>316800</v>
      </c>
      <c r="AQ75" s="13">
        <v>0</v>
      </c>
      <c r="AR75" s="13">
        <f t="shared" si="24"/>
        <v>316800</v>
      </c>
      <c r="AS75" s="13">
        <v>37000</v>
      </c>
      <c r="AT75" s="13">
        <v>21810</v>
      </c>
      <c r="AU75" s="13">
        <f t="shared" si="39"/>
        <v>15190</v>
      </c>
      <c r="AV75" s="13">
        <v>0</v>
      </c>
      <c r="AW75" s="13">
        <v>0</v>
      </c>
      <c r="AX75" s="13">
        <f t="shared" ref="AX75:AX84" si="48">SUM(AV75-AW75)</f>
        <v>0</v>
      </c>
      <c r="AY75" s="2">
        <f t="shared" si="40"/>
        <v>3565000</v>
      </c>
      <c r="AZ75" s="2">
        <f t="shared" si="40"/>
        <v>166647.04999999999</v>
      </c>
      <c r="BA75" s="2">
        <f t="shared" si="29"/>
        <v>3066362.95</v>
      </c>
      <c r="BB75" s="13">
        <v>29271100</v>
      </c>
      <c r="BC75" s="13">
        <v>2694113.4</v>
      </c>
      <c r="BD75" s="13">
        <f t="shared" si="41"/>
        <v>26576986.600000001</v>
      </c>
      <c r="BE75" s="2">
        <f t="shared" si="30"/>
        <v>35401130</v>
      </c>
      <c r="BF75" s="2">
        <f t="shared" si="28"/>
        <v>3327325.03</v>
      </c>
      <c r="BG75" s="2">
        <f t="shared" si="42"/>
        <v>32073804.969999999</v>
      </c>
      <c r="BH75" s="13">
        <v>455000</v>
      </c>
      <c r="BI75" s="13"/>
      <c r="BJ75" s="13">
        <f t="shared" ref="BJ75:BJ84" si="49">SUM(BH75-BI75)</f>
        <v>455000</v>
      </c>
    </row>
    <row r="76" spans="1:62" x14ac:dyDescent="0.55000000000000004">
      <c r="A76" s="11">
        <v>68</v>
      </c>
      <c r="B76" s="12" t="s">
        <v>72</v>
      </c>
      <c r="C76" s="19">
        <v>613500</v>
      </c>
      <c r="D76" s="19">
        <v>306750</v>
      </c>
      <c r="E76" s="21">
        <f t="shared" si="31"/>
        <v>306750</v>
      </c>
      <c r="F76" s="13">
        <f t="shared" si="25"/>
        <v>200000</v>
      </c>
      <c r="G76" s="13">
        <v>41871</v>
      </c>
      <c r="H76" s="13">
        <f t="shared" si="32"/>
        <v>158129</v>
      </c>
      <c r="I76" s="13">
        <f>22500</f>
        <v>22500</v>
      </c>
      <c r="J76" s="13">
        <v>11250</v>
      </c>
      <c r="K76" s="13">
        <f t="shared" si="33"/>
        <v>11250</v>
      </c>
      <c r="L76" s="13">
        <f>165000+81320+2726190+247000</f>
        <v>3219510</v>
      </c>
      <c r="M76" s="13">
        <v>813531.22</v>
      </c>
      <c r="N76" s="13">
        <f t="shared" si="34"/>
        <v>2405978.7800000003</v>
      </c>
      <c r="O76" s="2">
        <f t="shared" si="43"/>
        <v>3442010</v>
      </c>
      <c r="P76" s="2">
        <f t="shared" si="44"/>
        <v>866652.22</v>
      </c>
      <c r="Q76" s="2">
        <f t="shared" si="35"/>
        <v>2575357.7800000003</v>
      </c>
      <c r="R76" s="13">
        <v>20000</v>
      </c>
      <c r="S76" s="13">
        <v>0</v>
      </c>
      <c r="T76" s="13">
        <f t="shared" si="45"/>
        <v>20000</v>
      </c>
      <c r="U76" s="13">
        <v>190000</v>
      </c>
      <c r="V76" s="13">
        <v>190000</v>
      </c>
      <c r="W76" s="13">
        <f t="shared" si="46"/>
        <v>0</v>
      </c>
      <c r="X76" s="13">
        <v>0</v>
      </c>
      <c r="Y76" s="13">
        <v>0</v>
      </c>
      <c r="Z76" s="13">
        <f t="shared" si="36"/>
        <v>0</v>
      </c>
      <c r="AA76" s="13">
        <v>90000</v>
      </c>
      <c r="AB76" s="13">
        <v>14500</v>
      </c>
      <c r="AC76" s="13">
        <f t="shared" si="47"/>
        <v>75500</v>
      </c>
      <c r="AD76" s="13">
        <v>204120</v>
      </c>
      <c r="AE76" s="13">
        <v>0</v>
      </c>
      <c r="AF76" s="13">
        <f t="shared" si="37"/>
        <v>204120</v>
      </c>
      <c r="AG76" s="13">
        <v>1012900</v>
      </c>
      <c r="AH76" s="13">
        <v>272677.59999999998</v>
      </c>
      <c r="AI76" s="13">
        <f t="shared" ref="AI76:AI84" si="50">SUM(AG76-AH76)</f>
        <v>740222.4</v>
      </c>
      <c r="AJ76" s="13">
        <v>130800</v>
      </c>
      <c r="AK76" s="13">
        <v>22232.3</v>
      </c>
      <c r="AL76" s="13">
        <f t="shared" si="38"/>
        <v>108567.7</v>
      </c>
      <c r="AM76" s="13">
        <v>1500000</v>
      </c>
      <c r="AN76" s="13">
        <v>0</v>
      </c>
      <c r="AO76" s="13">
        <f t="shared" si="23"/>
        <v>1500000</v>
      </c>
      <c r="AP76" s="13">
        <v>316800</v>
      </c>
      <c r="AQ76" s="13">
        <v>0</v>
      </c>
      <c r="AR76" s="13">
        <f t="shared" si="24"/>
        <v>316800</v>
      </c>
      <c r="AS76" s="13">
        <v>37000</v>
      </c>
      <c r="AT76" s="13">
        <v>37000</v>
      </c>
      <c r="AU76" s="13">
        <f t="shared" si="39"/>
        <v>0</v>
      </c>
      <c r="AV76" s="13">
        <v>0</v>
      </c>
      <c r="AW76" s="13">
        <v>0</v>
      </c>
      <c r="AX76" s="13">
        <f t="shared" si="48"/>
        <v>0</v>
      </c>
      <c r="AY76" s="2">
        <f t="shared" si="40"/>
        <v>3481620</v>
      </c>
      <c r="AZ76" s="2">
        <f t="shared" si="40"/>
        <v>536409.89999999991</v>
      </c>
      <c r="BA76" s="2">
        <f t="shared" si="29"/>
        <v>2628410.1</v>
      </c>
      <c r="BB76" s="13">
        <v>18745300</v>
      </c>
      <c r="BC76" s="13">
        <v>0</v>
      </c>
      <c r="BD76" s="13">
        <f t="shared" si="41"/>
        <v>18745300</v>
      </c>
      <c r="BE76" s="2">
        <f t="shared" si="30"/>
        <v>26302430</v>
      </c>
      <c r="BF76" s="2">
        <f t="shared" si="28"/>
        <v>1709812.1199999999</v>
      </c>
      <c r="BG76" s="2">
        <f t="shared" si="42"/>
        <v>24592617.879999999</v>
      </c>
      <c r="BH76" s="13">
        <v>722000</v>
      </c>
      <c r="BI76" s="13"/>
      <c r="BJ76" s="13">
        <f t="shared" si="49"/>
        <v>722000</v>
      </c>
    </row>
    <row r="77" spans="1:62" x14ac:dyDescent="0.55000000000000004">
      <c r="A77" s="11">
        <v>69</v>
      </c>
      <c r="B77" s="12" t="s">
        <v>73</v>
      </c>
      <c r="C77" s="19">
        <v>665760</v>
      </c>
      <c r="D77" s="19">
        <v>332880</v>
      </c>
      <c r="E77" s="21">
        <f t="shared" si="31"/>
        <v>332880</v>
      </c>
      <c r="F77" s="13">
        <f t="shared" si="25"/>
        <v>200000</v>
      </c>
      <c r="G77" s="13">
        <v>2800</v>
      </c>
      <c r="H77" s="13">
        <f t="shared" si="32"/>
        <v>197200</v>
      </c>
      <c r="I77" s="13">
        <f>84000+117000+40000+22500</f>
        <v>263500</v>
      </c>
      <c r="J77" s="13">
        <f>12600+73250</f>
        <v>85850</v>
      </c>
      <c r="K77" s="13">
        <f t="shared" si="33"/>
        <v>177650</v>
      </c>
      <c r="L77" s="13">
        <f>195000+60000+780000+377000+100000+69000</f>
        <v>1581000</v>
      </c>
      <c r="M77" s="13">
        <v>372238.63</v>
      </c>
      <c r="N77" s="13">
        <f t="shared" si="34"/>
        <v>1208761.3700000001</v>
      </c>
      <c r="O77" s="2">
        <f t="shared" si="43"/>
        <v>2044500</v>
      </c>
      <c r="P77" s="2">
        <f t="shared" si="44"/>
        <v>460888.63</v>
      </c>
      <c r="Q77" s="2">
        <f t="shared" si="35"/>
        <v>1583611.37</v>
      </c>
      <c r="R77" s="13">
        <v>20000</v>
      </c>
      <c r="S77" s="13">
        <v>0</v>
      </c>
      <c r="T77" s="13">
        <f t="shared" si="45"/>
        <v>20000</v>
      </c>
      <c r="U77" s="13">
        <v>350000</v>
      </c>
      <c r="V77" s="13">
        <v>328625</v>
      </c>
      <c r="W77" s="13">
        <f t="shared" si="46"/>
        <v>21375</v>
      </c>
      <c r="X77" s="13">
        <v>500000</v>
      </c>
      <c r="Y77" s="13">
        <v>0</v>
      </c>
      <c r="Z77" s="13">
        <f t="shared" si="36"/>
        <v>500000</v>
      </c>
      <c r="AA77" s="13">
        <v>90000</v>
      </c>
      <c r="AB77" s="13">
        <v>30000</v>
      </c>
      <c r="AC77" s="13">
        <f t="shared" si="47"/>
        <v>60000</v>
      </c>
      <c r="AD77" s="13">
        <v>306600</v>
      </c>
      <c r="AE77" s="13">
        <v>0</v>
      </c>
      <c r="AF77" s="13">
        <f t="shared" si="37"/>
        <v>306600</v>
      </c>
      <c r="AG77" s="13">
        <v>1012900</v>
      </c>
      <c r="AH77" s="13">
        <v>217115.76</v>
      </c>
      <c r="AI77" s="13">
        <f t="shared" si="50"/>
        <v>795784.24</v>
      </c>
      <c r="AJ77" s="13">
        <v>181860</v>
      </c>
      <c r="AK77" s="13">
        <v>0</v>
      </c>
      <c r="AL77" s="13">
        <f t="shared" si="38"/>
        <v>181860</v>
      </c>
      <c r="AM77" s="13">
        <f>1500000+300000</f>
        <v>1800000</v>
      </c>
      <c r="AN77" s="13">
        <v>260979.7</v>
      </c>
      <c r="AO77" s="13">
        <f t="shared" ref="AO77:AO84" si="51">SUM(AM77-AN77)</f>
        <v>1539020.3</v>
      </c>
      <c r="AP77" s="13">
        <v>368000</v>
      </c>
      <c r="AQ77" s="13">
        <v>0</v>
      </c>
      <c r="AR77" s="13">
        <f t="shared" ref="AR77:AR84" si="52">SUM(AP77-AQ77)</f>
        <v>368000</v>
      </c>
      <c r="AS77" s="13">
        <v>37000</v>
      </c>
      <c r="AT77" s="13">
        <v>37000</v>
      </c>
      <c r="AU77" s="13">
        <f t="shared" si="39"/>
        <v>0</v>
      </c>
      <c r="AV77" s="13">
        <v>2092786.16</v>
      </c>
      <c r="AW77" s="13">
        <v>2092786.16</v>
      </c>
      <c r="AX77" s="13">
        <f t="shared" si="48"/>
        <v>0</v>
      </c>
      <c r="AY77" s="2">
        <f t="shared" si="40"/>
        <v>6739146.1600000001</v>
      </c>
      <c r="AZ77" s="2">
        <f t="shared" si="40"/>
        <v>2966506.62</v>
      </c>
      <c r="BA77" s="2">
        <f t="shared" si="29"/>
        <v>3404639.54</v>
      </c>
      <c r="BB77" s="13">
        <v>31073700</v>
      </c>
      <c r="BC77" s="13">
        <v>0</v>
      </c>
      <c r="BD77" s="13">
        <f t="shared" si="41"/>
        <v>31073700</v>
      </c>
      <c r="BE77" s="2">
        <f t="shared" si="30"/>
        <v>40543106.159999996</v>
      </c>
      <c r="BF77" s="2">
        <f t="shared" si="28"/>
        <v>3760275.25</v>
      </c>
      <c r="BG77" s="2">
        <f t="shared" si="42"/>
        <v>36782830.909999996</v>
      </c>
      <c r="BH77" s="13">
        <v>1434000</v>
      </c>
      <c r="BI77" s="13"/>
      <c r="BJ77" s="13">
        <f t="shared" si="49"/>
        <v>1434000</v>
      </c>
    </row>
    <row r="78" spans="1:62" x14ac:dyDescent="0.55000000000000004">
      <c r="A78" s="11">
        <v>70</v>
      </c>
      <c r="B78" s="12" t="s">
        <v>74</v>
      </c>
      <c r="C78" s="19">
        <v>532800</v>
      </c>
      <c r="D78" s="19">
        <v>266400</v>
      </c>
      <c r="E78" s="21">
        <f t="shared" si="31"/>
        <v>266400</v>
      </c>
      <c r="F78" s="13">
        <f t="shared" si="25"/>
        <v>200000</v>
      </c>
      <c r="G78" s="13">
        <v>65076.88</v>
      </c>
      <c r="H78" s="13">
        <f t="shared" si="32"/>
        <v>134923.12</v>
      </c>
      <c r="I78" s="13">
        <f>291000+18000</f>
        <v>309000</v>
      </c>
      <c r="J78" s="13">
        <v>156500</v>
      </c>
      <c r="K78" s="13">
        <f t="shared" si="33"/>
        <v>152500</v>
      </c>
      <c r="L78" s="13">
        <f>126000+42800+668000+5000+4500+37450</f>
        <v>883750</v>
      </c>
      <c r="M78" s="13">
        <v>125607.19</v>
      </c>
      <c r="N78" s="13">
        <f t="shared" si="34"/>
        <v>758142.81</v>
      </c>
      <c r="O78" s="2">
        <f t="shared" si="43"/>
        <v>1392750</v>
      </c>
      <c r="P78" s="2">
        <f t="shared" si="44"/>
        <v>347184.07</v>
      </c>
      <c r="Q78" s="2">
        <f t="shared" si="35"/>
        <v>1045565.9299999999</v>
      </c>
      <c r="R78" s="13">
        <v>20000</v>
      </c>
      <c r="S78" s="13">
        <v>0</v>
      </c>
      <c r="T78" s="13">
        <f t="shared" si="45"/>
        <v>20000</v>
      </c>
      <c r="U78" s="13">
        <f>170000+250000</f>
        <v>420000</v>
      </c>
      <c r="V78" s="13">
        <v>150000</v>
      </c>
      <c r="W78" s="13">
        <f t="shared" si="46"/>
        <v>270000</v>
      </c>
      <c r="X78" s="13">
        <v>0</v>
      </c>
      <c r="Y78" s="13">
        <v>0</v>
      </c>
      <c r="Z78" s="13">
        <f t="shared" si="36"/>
        <v>0</v>
      </c>
      <c r="AA78" s="13">
        <v>90000</v>
      </c>
      <c r="AB78" s="13">
        <v>42246</v>
      </c>
      <c r="AC78" s="13">
        <f t="shared" si="47"/>
        <v>47754</v>
      </c>
      <c r="AD78" s="13">
        <v>340100</v>
      </c>
      <c r="AE78" s="13">
        <v>0</v>
      </c>
      <c r="AF78" s="13">
        <f t="shared" si="37"/>
        <v>340100</v>
      </c>
      <c r="AG78" s="13">
        <v>1012900</v>
      </c>
      <c r="AH78" s="13">
        <v>256982.06</v>
      </c>
      <c r="AI78" s="13">
        <f t="shared" si="50"/>
        <v>755917.94</v>
      </c>
      <c r="AJ78" s="13">
        <v>124800</v>
      </c>
      <c r="AK78" s="13">
        <v>37071.589999999997</v>
      </c>
      <c r="AL78" s="13">
        <f t="shared" si="38"/>
        <v>87728.41</v>
      </c>
      <c r="AM78" s="13">
        <v>1500000</v>
      </c>
      <c r="AN78" s="13">
        <v>0</v>
      </c>
      <c r="AO78" s="13">
        <f t="shared" si="51"/>
        <v>1500000</v>
      </c>
      <c r="AP78" s="13">
        <v>368000</v>
      </c>
      <c r="AQ78" s="13">
        <v>202475</v>
      </c>
      <c r="AR78" s="13">
        <f t="shared" si="52"/>
        <v>165525</v>
      </c>
      <c r="AS78" s="13">
        <v>37000</v>
      </c>
      <c r="AT78" s="13">
        <v>37000</v>
      </c>
      <c r="AU78" s="13">
        <f t="shared" si="39"/>
        <v>0</v>
      </c>
      <c r="AV78" s="13">
        <v>0</v>
      </c>
      <c r="AW78" s="13">
        <v>0</v>
      </c>
      <c r="AX78" s="13">
        <f t="shared" si="48"/>
        <v>0</v>
      </c>
      <c r="AY78" s="2">
        <f t="shared" si="40"/>
        <v>3892800</v>
      </c>
      <c r="AZ78" s="2">
        <f t="shared" si="40"/>
        <v>725774.65</v>
      </c>
      <c r="BA78" s="2">
        <f t="shared" si="29"/>
        <v>3001500.3499999996</v>
      </c>
      <c r="BB78" s="13">
        <v>7909500</v>
      </c>
      <c r="BC78" s="13">
        <v>0</v>
      </c>
      <c r="BD78" s="13">
        <f t="shared" si="41"/>
        <v>7909500</v>
      </c>
      <c r="BE78" s="2">
        <f t="shared" si="30"/>
        <v>13747850</v>
      </c>
      <c r="BF78" s="2">
        <f t="shared" si="28"/>
        <v>1339358.72</v>
      </c>
      <c r="BG78" s="2">
        <f t="shared" si="42"/>
        <v>12408491.279999999</v>
      </c>
      <c r="BH78" s="13">
        <v>633000</v>
      </c>
      <c r="BI78" s="13"/>
      <c r="BJ78" s="13">
        <f t="shared" si="49"/>
        <v>633000</v>
      </c>
    </row>
    <row r="79" spans="1:62" x14ac:dyDescent="0.55000000000000004">
      <c r="A79" s="11">
        <v>71</v>
      </c>
      <c r="B79" s="12" t="s">
        <v>75</v>
      </c>
      <c r="C79" s="19">
        <v>664800</v>
      </c>
      <c r="D79" s="19">
        <v>332400</v>
      </c>
      <c r="E79" s="21">
        <f t="shared" si="31"/>
        <v>332400</v>
      </c>
      <c r="F79" s="13">
        <f t="shared" si="25"/>
        <v>200000</v>
      </c>
      <c r="G79" s="13">
        <v>58708</v>
      </c>
      <c r="H79" s="13">
        <f t="shared" si="32"/>
        <v>141292</v>
      </c>
      <c r="I79" s="13">
        <f>147000+22500</f>
        <v>169500</v>
      </c>
      <c r="J79" s="13">
        <v>28750</v>
      </c>
      <c r="K79" s="13">
        <f t="shared" si="33"/>
        <v>140750</v>
      </c>
      <c r="L79" s="13">
        <f>147000+66126+796620+48049+5000+240964</f>
        <v>1303759</v>
      </c>
      <c r="M79" s="13">
        <v>157307.31</v>
      </c>
      <c r="N79" s="13">
        <f t="shared" si="34"/>
        <v>1146451.69</v>
      </c>
      <c r="O79" s="2">
        <f t="shared" si="43"/>
        <v>1673259</v>
      </c>
      <c r="P79" s="2">
        <f t="shared" si="44"/>
        <v>244765.31</v>
      </c>
      <c r="Q79" s="2">
        <f t="shared" si="35"/>
        <v>1428493.69</v>
      </c>
      <c r="R79" s="13">
        <v>20000</v>
      </c>
      <c r="S79" s="13">
        <v>0</v>
      </c>
      <c r="T79" s="13">
        <f t="shared" si="45"/>
        <v>20000</v>
      </c>
      <c r="U79" s="13">
        <f>230000+250000</f>
        <v>480000</v>
      </c>
      <c r="V79" s="13">
        <v>230000</v>
      </c>
      <c r="W79" s="13">
        <f t="shared" si="46"/>
        <v>250000</v>
      </c>
      <c r="X79" s="13">
        <v>0</v>
      </c>
      <c r="Y79" s="13">
        <v>0</v>
      </c>
      <c r="Z79" s="13">
        <f t="shared" si="36"/>
        <v>0</v>
      </c>
      <c r="AA79" s="13">
        <v>90000</v>
      </c>
      <c r="AB79" s="13">
        <v>56619</v>
      </c>
      <c r="AC79" s="13">
        <f t="shared" si="47"/>
        <v>33381</v>
      </c>
      <c r="AD79" s="13">
        <v>547100</v>
      </c>
      <c r="AE79" s="13">
        <v>0</v>
      </c>
      <c r="AF79" s="13">
        <f t="shared" si="37"/>
        <v>547100</v>
      </c>
      <c r="AG79" s="13">
        <v>1012900</v>
      </c>
      <c r="AH79" s="13">
        <v>214135</v>
      </c>
      <c r="AI79" s="13">
        <f t="shared" si="50"/>
        <v>798765</v>
      </c>
      <c r="AJ79" s="13">
        <v>142800</v>
      </c>
      <c r="AK79" s="13">
        <v>72911</v>
      </c>
      <c r="AL79" s="13">
        <f t="shared" si="38"/>
        <v>69889</v>
      </c>
      <c r="AM79" s="13">
        <f>1500000+182160</f>
        <v>1682160</v>
      </c>
      <c r="AN79" s="13">
        <v>0</v>
      </c>
      <c r="AO79" s="13">
        <f t="shared" si="51"/>
        <v>1682160</v>
      </c>
      <c r="AP79" s="13">
        <v>368000</v>
      </c>
      <c r="AQ79" s="13">
        <v>0</v>
      </c>
      <c r="AR79" s="13">
        <f t="shared" si="52"/>
        <v>368000</v>
      </c>
      <c r="AS79" s="13">
        <v>37000</v>
      </c>
      <c r="AT79" s="13">
        <v>37000</v>
      </c>
      <c r="AU79" s="13">
        <f t="shared" si="39"/>
        <v>0</v>
      </c>
      <c r="AV79" s="13">
        <v>0</v>
      </c>
      <c r="AW79" s="13">
        <v>0</v>
      </c>
      <c r="AX79" s="13">
        <f t="shared" si="48"/>
        <v>0</v>
      </c>
      <c r="AY79" s="2">
        <f t="shared" si="40"/>
        <v>4359960</v>
      </c>
      <c r="AZ79" s="2">
        <f t="shared" si="40"/>
        <v>610665</v>
      </c>
      <c r="BA79" s="2">
        <f t="shared" si="29"/>
        <v>3381295</v>
      </c>
      <c r="BB79" s="13">
        <v>8432000</v>
      </c>
      <c r="BC79" s="13">
        <v>0</v>
      </c>
      <c r="BD79" s="13">
        <f t="shared" si="41"/>
        <v>8432000</v>
      </c>
      <c r="BE79" s="2">
        <f t="shared" si="30"/>
        <v>15150019</v>
      </c>
      <c r="BF79" s="2">
        <f t="shared" si="28"/>
        <v>1187830.31</v>
      </c>
      <c r="BG79" s="2">
        <f t="shared" si="42"/>
        <v>13962188.689999999</v>
      </c>
      <c r="BH79" s="13">
        <v>900000</v>
      </c>
      <c r="BI79" s="13"/>
      <c r="BJ79" s="13">
        <f t="shared" si="49"/>
        <v>900000</v>
      </c>
    </row>
    <row r="80" spans="1:62" x14ac:dyDescent="0.55000000000000004">
      <c r="A80" s="11">
        <v>72</v>
      </c>
      <c r="B80" s="12" t="s">
        <v>76</v>
      </c>
      <c r="C80" s="19">
        <v>398520</v>
      </c>
      <c r="D80" s="19">
        <v>199650</v>
      </c>
      <c r="E80" s="21">
        <f t="shared" si="31"/>
        <v>198870</v>
      </c>
      <c r="F80" s="13">
        <f t="shared" si="25"/>
        <v>200000</v>
      </c>
      <c r="G80" s="13">
        <v>42225.919999999998</v>
      </c>
      <c r="H80" s="13">
        <f t="shared" si="32"/>
        <v>157774.08000000002</v>
      </c>
      <c r="I80" s="13">
        <f>275700+13500</f>
        <v>289200</v>
      </c>
      <c r="J80" s="13">
        <v>92650</v>
      </c>
      <c r="K80" s="13">
        <f t="shared" si="33"/>
        <v>196550</v>
      </c>
      <c r="L80" s="13">
        <f>117000+44084+868000+20151+77000</f>
        <v>1126235</v>
      </c>
      <c r="M80" s="13">
        <v>263111.25</v>
      </c>
      <c r="N80" s="13">
        <f t="shared" si="34"/>
        <v>863123.75</v>
      </c>
      <c r="O80" s="2">
        <f t="shared" si="43"/>
        <v>1615435</v>
      </c>
      <c r="P80" s="2">
        <f t="shared" si="44"/>
        <v>397987.17</v>
      </c>
      <c r="Q80" s="2">
        <f t="shared" si="35"/>
        <v>1217447.83</v>
      </c>
      <c r="R80" s="13">
        <v>20000</v>
      </c>
      <c r="S80" s="13">
        <v>0</v>
      </c>
      <c r="T80" s="13">
        <f t="shared" si="45"/>
        <v>20000</v>
      </c>
      <c r="U80" s="13">
        <f>250000+250000</f>
        <v>500000</v>
      </c>
      <c r="V80" s="13">
        <v>249780</v>
      </c>
      <c r="W80" s="13">
        <f t="shared" si="46"/>
        <v>250220</v>
      </c>
      <c r="X80" s="13">
        <v>0</v>
      </c>
      <c r="Y80" s="13">
        <v>0</v>
      </c>
      <c r="Z80" s="13">
        <f t="shared" si="36"/>
        <v>0</v>
      </c>
      <c r="AA80" s="13">
        <v>90000</v>
      </c>
      <c r="AB80" s="13">
        <v>27860</v>
      </c>
      <c r="AC80" s="13">
        <f t="shared" si="47"/>
        <v>62140</v>
      </c>
      <c r="AD80" s="13">
        <v>529055</v>
      </c>
      <c r="AE80" s="13">
        <v>0</v>
      </c>
      <c r="AF80" s="13">
        <f t="shared" si="37"/>
        <v>529055</v>
      </c>
      <c r="AG80" s="13">
        <v>1012900</v>
      </c>
      <c r="AH80" s="13">
        <v>133823.96</v>
      </c>
      <c r="AI80" s="13">
        <f t="shared" si="50"/>
        <v>879076.04</v>
      </c>
      <c r="AJ80" s="13">
        <v>148800</v>
      </c>
      <c r="AK80" s="13">
        <v>22322.62</v>
      </c>
      <c r="AL80" s="13">
        <f t="shared" si="38"/>
        <v>126477.38</v>
      </c>
      <c r="AM80" s="13">
        <v>1500000</v>
      </c>
      <c r="AN80" s="13">
        <v>0</v>
      </c>
      <c r="AO80" s="13">
        <f t="shared" si="51"/>
        <v>1500000</v>
      </c>
      <c r="AP80" s="13">
        <v>368000</v>
      </c>
      <c r="AQ80" s="13">
        <v>0</v>
      </c>
      <c r="AR80" s="13">
        <f t="shared" si="52"/>
        <v>368000</v>
      </c>
      <c r="AS80" s="13">
        <v>37000</v>
      </c>
      <c r="AT80" s="13">
        <v>15800</v>
      </c>
      <c r="AU80" s="13">
        <f t="shared" si="39"/>
        <v>21200</v>
      </c>
      <c r="AV80" s="13">
        <v>0</v>
      </c>
      <c r="AW80" s="13">
        <v>0</v>
      </c>
      <c r="AX80" s="13">
        <f t="shared" si="48"/>
        <v>0</v>
      </c>
      <c r="AY80" s="2">
        <f t="shared" si="40"/>
        <v>4185755</v>
      </c>
      <c r="AZ80" s="2">
        <f t="shared" si="40"/>
        <v>449586.57999999996</v>
      </c>
      <c r="BA80" s="2">
        <f t="shared" si="29"/>
        <v>3346968.42</v>
      </c>
      <c r="BB80" s="13">
        <v>48045800</v>
      </c>
      <c r="BC80" s="13">
        <v>0</v>
      </c>
      <c r="BD80" s="13">
        <f t="shared" si="41"/>
        <v>48045800</v>
      </c>
      <c r="BE80" s="2">
        <f t="shared" si="30"/>
        <v>54265510</v>
      </c>
      <c r="BF80" s="2">
        <f t="shared" si="28"/>
        <v>1047223.75</v>
      </c>
      <c r="BG80" s="2">
        <f t="shared" si="42"/>
        <v>53218286.25</v>
      </c>
      <c r="BH80" s="13">
        <v>989000</v>
      </c>
      <c r="BI80" s="13"/>
      <c r="BJ80" s="13">
        <f t="shared" si="49"/>
        <v>989000</v>
      </c>
    </row>
    <row r="81" spans="1:62" x14ac:dyDescent="0.55000000000000004">
      <c r="A81" s="11">
        <v>73</v>
      </c>
      <c r="B81" s="12" t="s">
        <v>77</v>
      </c>
      <c r="C81" s="19">
        <f>809100+1200</f>
        <v>810300</v>
      </c>
      <c r="D81" s="19">
        <v>404550</v>
      </c>
      <c r="E81" s="21">
        <f t="shared" si="31"/>
        <v>405750</v>
      </c>
      <c r="F81" s="13">
        <f>200000</f>
        <v>200000</v>
      </c>
      <c r="G81" s="13">
        <v>23276</v>
      </c>
      <c r="H81" s="13">
        <f t="shared" si="32"/>
        <v>176724</v>
      </c>
      <c r="I81" s="13">
        <f>24000+27000+180000</f>
        <v>231000</v>
      </c>
      <c r="J81" s="13">
        <f>53000+13500</f>
        <v>66500</v>
      </c>
      <c r="K81" s="13">
        <f t="shared" si="33"/>
        <v>164500</v>
      </c>
      <c r="L81" s="13">
        <f>153000+45000</f>
        <v>198000</v>
      </c>
      <c r="M81" s="13">
        <v>87465.24</v>
      </c>
      <c r="N81" s="13">
        <f t="shared" si="34"/>
        <v>110534.76</v>
      </c>
      <c r="O81" s="2">
        <f t="shared" si="43"/>
        <v>629000</v>
      </c>
      <c r="P81" s="2">
        <f t="shared" si="44"/>
        <v>177241.24</v>
      </c>
      <c r="Q81" s="2">
        <f t="shared" si="35"/>
        <v>451758.76</v>
      </c>
      <c r="R81" s="13">
        <f>20000+300000</f>
        <v>320000</v>
      </c>
      <c r="S81" s="13">
        <v>0</v>
      </c>
      <c r="T81" s="13">
        <f t="shared" si="45"/>
        <v>320000</v>
      </c>
      <c r="U81" s="13">
        <v>270000</v>
      </c>
      <c r="V81" s="13">
        <v>220000</v>
      </c>
      <c r="W81" s="13">
        <f t="shared" si="46"/>
        <v>50000</v>
      </c>
      <c r="X81" s="13">
        <v>0</v>
      </c>
      <c r="Y81" s="13">
        <v>0</v>
      </c>
      <c r="Z81" s="13">
        <f t="shared" si="36"/>
        <v>0</v>
      </c>
      <c r="AA81" s="13">
        <v>90000</v>
      </c>
      <c r="AB81" s="13">
        <v>2100</v>
      </c>
      <c r="AC81" s="13">
        <f t="shared" si="47"/>
        <v>87900</v>
      </c>
      <c r="AD81" s="13">
        <v>242600</v>
      </c>
      <c r="AE81" s="13">
        <v>0</v>
      </c>
      <c r="AF81" s="13">
        <f t="shared" si="37"/>
        <v>242600</v>
      </c>
      <c r="AG81" s="13">
        <v>1012900</v>
      </c>
      <c r="AH81" s="13">
        <v>173954.62</v>
      </c>
      <c r="AI81" s="13">
        <f t="shared" si="50"/>
        <v>838945.38</v>
      </c>
      <c r="AJ81" s="13">
        <v>154800</v>
      </c>
      <c r="AK81" s="13">
        <v>47829.31</v>
      </c>
      <c r="AL81" s="13">
        <f t="shared" si="38"/>
        <v>106970.69</v>
      </c>
      <c r="AM81" s="13">
        <f>1500000+300000</f>
        <v>1800000</v>
      </c>
      <c r="AN81" s="13">
        <v>0</v>
      </c>
      <c r="AO81" s="13">
        <f t="shared" si="51"/>
        <v>1800000</v>
      </c>
      <c r="AP81" s="13">
        <v>432000</v>
      </c>
      <c r="AQ81" s="13">
        <v>0</v>
      </c>
      <c r="AR81" s="13">
        <f t="shared" si="52"/>
        <v>432000</v>
      </c>
      <c r="AS81" s="13">
        <v>37000</v>
      </c>
      <c r="AT81" s="13">
        <v>0</v>
      </c>
      <c r="AU81" s="13">
        <f t="shared" si="39"/>
        <v>37000</v>
      </c>
      <c r="AV81" s="13">
        <v>0</v>
      </c>
      <c r="AW81" s="13">
        <v>0</v>
      </c>
      <c r="AX81" s="13">
        <f t="shared" si="48"/>
        <v>0</v>
      </c>
      <c r="AY81" s="2">
        <f t="shared" si="40"/>
        <v>4039300</v>
      </c>
      <c r="AZ81" s="2">
        <f t="shared" si="40"/>
        <v>443883.93</v>
      </c>
      <c r="BA81" s="2">
        <f t="shared" si="29"/>
        <v>3126416.07</v>
      </c>
      <c r="BB81" s="13">
        <v>33478000</v>
      </c>
      <c r="BC81" s="13">
        <f>2876367</f>
        <v>2876367</v>
      </c>
      <c r="BD81" s="13">
        <f t="shared" si="41"/>
        <v>30601633</v>
      </c>
      <c r="BE81" s="2">
        <f t="shared" si="30"/>
        <v>39276600</v>
      </c>
      <c r="BF81" s="2">
        <f t="shared" si="28"/>
        <v>3902042.17</v>
      </c>
      <c r="BG81" s="2">
        <f t="shared" si="42"/>
        <v>35374557.829999998</v>
      </c>
      <c r="BH81" s="13">
        <v>1078000</v>
      </c>
      <c r="BI81" s="13"/>
      <c r="BJ81" s="13">
        <f t="shared" si="49"/>
        <v>1078000</v>
      </c>
    </row>
    <row r="82" spans="1:62" x14ac:dyDescent="0.55000000000000004">
      <c r="A82" s="11">
        <v>74</v>
      </c>
      <c r="B82" s="12" t="s">
        <v>78</v>
      </c>
      <c r="C82" s="19">
        <v>798120</v>
      </c>
      <c r="D82" s="19">
        <v>399060</v>
      </c>
      <c r="E82" s="21">
        <f t="shared" si="31"/>
        <v>399060</v>
      </c>
      <c r="F82" s="13">
        <f t="shared" si="25"/>
        <v>200000</v>
      </c>
      <c r="G82" s="13">
        <v>199498.74</v>
      </c>
      <c r="H82" s="13">
        <f t="shared" si="32"/>
        <v>501.26000000000931</v>
      </c>
      <c r="I82" s="13">
        <f>162000+27000+180000</f>
        <v>369000</v>
      </c>
      <c r="J82" s="13">
        <f>45000+94500</f>
        <v>139500</v>
      </c>
      <c r="K82" s="13">
        <f t="shared" si="33"/>
        <v>229500</v>
      </c>
      <c r="L82" s="13">
        <f>129000+64200+912000+203000</f>
        <v>1308200</v>
      </c>
      <c r="M82" s="13">
        <v>242201.04</v>
      </c>
      <c r="N82" s="13">
        <f t="shared" si="34"/>
        <v>1065998.96</v>
      </c>
      <c r="O82" s="2">
        <f t="shared" si="43"/>
        <v>1877200</v>
      </c>
      <c r="P82" s="2">
        <f t="shared" si="44"/>
        <v>581199.78</v>
      </c>
      <c r="Q82" s="2">
        <f t="shared" si="35"/>
        <v>1296000.22</v>
      </c>
      <c r="R82" s="13">
        <f>20000+300000</f>
        <v>320000</v>
      </c>
      <c r="S82" s="13">
        <v>0</v>
      </c>
      <c r="T82" s="13">
        <f t="shared" si="45"/>
        <v>320000</v>
      </c>
      <c r="U82" s="13">
        <v>190000</v>
      </c>
      <c r="V82" s="13">
        <v>160000</v>
      </c>
      <c r="W82" s="13">
        <f t="shared" si="46"/>
        <v>30000</v>
      </c>
      <c r="X82" s="13">
        <v>0</v>
      </c>
      <c r="Y82" s="13">
        <v>0</v>
      </c>
      <c r="Z82" s="13">
        <f t="shared" si="36"/>
        <v>0</v>
      </c>
      <c r="AA82" s="13">
        <v>90000</v>
      </c>
      <c r="AB82" s="13">
        <v>12200</v>
      </c>
      <c r="AC82" s="13">
        <f t="shared" si="47"/>
        <v>77800</v>
      </c>
      <c r="AD82" s="13">
        <v>472850</v>
      </c>
      <c r="AE82" s="13">
        <v>0</v>
      </c>
      <c r="AF82" s="13">
        <f t="shared" si="37"/>
        <v>472850</v>
      </c>
      <c r="AG82" s="13">
        <v>1012900</v>
      </c>
      <c r="AH82" s="13">
        <v>213469.4</v>
      </c>
      <c r="AI82" s="13">
        <f t="shared" si="50"/>
        <v>799430.6</v>
      </c>
      <c r="AJ82" s="13">
        <v>130800</v>
      </c>
      <c r="AK82" s="13">
        <v>12093.46</v>
      </c>
      <c r="AL82" s="13">
        <f t="shared" si="38"/>
        <v>118706.54000000001</v>
      </c>
      <c r="AM82" s="13">
        <v>1500000</v>
      </c>
      <c r="AN82" s="13">
        <v>0</v>
      </c>
      <c r="AO82" s="13">
        <f t="shared" si="51"/>
        <v>1500000</v>
      </c>
      <c r="AP82" s="13">
        <v>432000</v>
      </c>
      <c r="AQ82" s="13">
        <v>0</v>
      </c>
      <c r="AR82" s="13">
        <f t="shared" si="52"/>
        <v>432000</v>
      </c>
      <c r="AS82" s="13">
        <v>37000</v>
      </c>
      <c r="AT82" s="13">
        <v>0</v>
      </c>
      <c r="AU82" s="13">
        <f t="shared" si="39"/>
        <v>37000</v>
      </c>
      <c r="AV82" s="13">
        <v>0</v>
      </c>
      <c r="AW82" s="13">
        <v>0</v>
      </c>
      <c r="AX82" s="13">
        <f t="shared" si="48"/>
        <v>0</v>
      </c>
      <c r="AY82" s="2">
        <f t="shared" si="40"/>
        <v>3865550</v>
      </c>
      <c r="AZ82" s="2">
        <f t="shared" si="40"/>
        <v>397762.86000000004</v>
      </c>
      <c r="BA82" s="2">
        <f t="shared" si="29"/>
        <v>2998787.14</v>
      </c>
      <c r="BB82" s="13">
        <v>0</v>
      </c>
      <c r="BC82" s="13">
        <v>0</v>
      </c>
      <c r="BD82" s="13">
        <f t="shared" si="41"/>
        <v>0</v>
      </c>
      <c r="BE82" s="2">
        <f t="shared" si="30"/>
        <v>6860870</v>
      </c>
      <c r="BF82" s="2">
        <f t="shared" si="28"/>
        <v>1378022.6400000001</v>
      </c>
      <c r="BG82" s="2">
        <f t="shared" si="42"/>
        <v>5482847.3599999994</v>
      </c>
      <c r="BH82" s="13">
        <v>722000</v>
      </c>
      <c r="BI82" s="13"/>
      <c r="BJ82" s="13">
        <f t="shared" si="49"/>
        <v>722000</v>
      </c>
    </row>
    <row r="83" spans="1:62" x14ac:dyDescent="0.55000000000000004">
      <c r="A83" s="11">
        <v>75</v>
      </c>
      <c r="B83" s="12" t="s">
        <v>79</v>
      </c>
      <c r="C83" s="19">
        <v>626040</v>
      </c>
      <c r="D83" s="19">
        <v>206520</v>
      </c>
      <c r="E83" s="21">
        <f t="shared" si="31"/>
        <v>419520</v>
      </c>
      <c r="F83" s="13">
        <f t="shared" si="25"/>
        <v>200000</v>
      </c>
      <c r="G83" s="13">
        <v>198574.74</v>
      </c>
      <c r="H83" s="13">
        <f t="shared" si="32"/>
        <v>1425.2600000000093</v>
      </c>
      <c r="I83" s="13">
        <f>145800+22500+150000</f>
        <v>318300</v>
      </c>
      <c r="J83" s="13">
        <f>37500+177710</f>
        <v>215210</v>
      </c>
      <c r="K83" s="13">
        <f t="shared" si="33"/>
        <v>103090</v>
      </c>
      <c r="L83" s="13">
        <f>189000+64200+1354000+209000+238610</f>
        <v>2054810</v>
      </c>
      <c r="M83" s="13">
        <v>557623.88</v>
      </c>
      <c r="N83" s="13">
        <f t="shared" si="34"/>
        <v>1497186.12</v>
      </c>
      <c r="O83" s="2">
        <f t="shared" si="43"/>
        <v>2573110</v>
      </c>
      <c r="P83" s="2">
        <f t="shared" si="44"/>
        <v>971408.62</v>
      </c>
      <c r="Q83" s="2">
        <f t="shared" si="35"/>
        <v>1601701.38</v>
      </c>
      <c r="R83" s="13">
        <f>20000+300000</f>
        <v>320000</v>
      </c>
      <c r="S83" s="13">
        <v>0</v>
      </c>
      <c r="T83" s="13">
        <f t="shared" si="45"/>
        <v>320000</v>
      </c>
      <c r="U83" s="13">
        <v>290000</v>
      </c>
      <c r="V83" s="13">
        <v>224000</v>
      </c>
      <c r="W83" s="13">
        <f t="shared" si="46"/>
        <v>66000</v>
      </c>
      <c r="X83" s="13">
        <v>500000</v>
      </c>
      <c r="Y83" s="13">
        <v>14000</v>
      </c>
      <c r="Z83" s="13">
        <f t="shared" si="36"/>
        <v>486000</v>
      </c>
      <c r="AA83" s="13">
        <v>90000</v>
      </c>
      <c r="AB83" s="13">
        <v>46775</v>
      </c>
      <c r="AC83" s="13">
        <f t="shared" si="47"/>
        <v>43225</v>
      </c>
      <c r="AD83" s="13">
        <v>421600</v>
      </c>
      <c r="AE83" s="13">
        <v>95120</v>
      </c>
      <c r="AF83" s="13">
        <f t="shared" si="37"/>
        <v>326480</v>
      </c>
      <c r="AG83" s="13">
        <v>1012900</v>
      </c>
      <c r="AH83" s="13">
        <v>165088.98000000001</v>
      </c>
      <c r="AI83" s="13">
        <f t="shared" si="50"/>
        <v>847811.02</v>
      </c>
      <c r="AJ83" s="13">
        <v>160800</v>
      </c>
      <c r="AK83" s="13">
        <v>9466.99</v>
      </c>
      <c r="AL83" s="13">
        <f t="shared" si="38"/>
        <v>151333.01</v>
      </c>
      <c r="AM83" s="13">
        <v>1500000</v>
      </c>
      <c r="AN83" s="13">
        <v>0</v>
      </c>
      <c r="AO83" s="13">
        <f t="shared" si="51"/>
        <v>1500000</v>
      </c>
      <c r="AP83" s="13">
        <v>432000</v>
      </c>
      <c r="AQ83" s="13">
        <v>0</v>
      </c>
      <c r="AR83" s="13">
        <f t="shared" si="52"/>
        <v>432000</v>
      </c>
      <c r="AS83" s="13">
        <v>37000</v>
      </c>
      <c r="AT83" s="13">
        <v>27000</v>
      </c>
      <c r="AU83" s="13">
        <f t="shared" si="39"/>
        <v>10000</v>
      </c>
      <c r="AV83" s="13">
        <v>0</v>
      </c>
      <c r="AW83" s="13">
        <v>0</v>
      </c>
      <c r="AX83" s="13">
        <f t="shared" si="48"/>
        <v>0</v>
      </c>
      <c r="AY83" s="2">
        <f t="shared" si="40"/>
        <v>4444300</v>
      </c>
      <c r="AZ83" s="2">
        <f t="shared" si="40"/>
        <v>581450.97</v>
      </c>
      <c r="BA83" s="2">
        <f t="shared" si="29"/>
        <v>3420849.0300000003</v>
      </c>
      <c r="BB83" s="13">
        <v>104749900</v>
      </c>
      <c r="BC83" s="13">
        <v>0</v>
      </c>
      <c r="BD83" s="13">
        <f t="shared" si="41"/>
        <v>104749900</v>
      </c>
      <c r="BE83" s="2">
        <f t="shared" si="30"/>
        <v>112713350</v>
      </c>
      <c r="BF83" s="2">
        <f t="shared" si="28"/>
        <v>1759379.5899999999</v>
      </c>
      <c r="BG83" s="2">
        <f t="shared" si="42"/>
        <v>110953970.41</v>
      </c>
      <c r="BH83" s="13">
        <v>1167000</v>
      </c>
      <c r="BI83" s="13"/>
      <c r="BJ83" s="13">
        <f t="shared" si="49"/>
        <v>1167000</v>
      </c>
    </row>
    <row r="84" spans="1:62" x14ac:dyDescent="0.55000000000000004">
      <c r="A84" s="11">
        <v>76</v>
      </c>
      <c r="B84" s="12" t="s">
        <v>80</v>
      </c>
      <c r="C84" s="19">
        <v>483960</v>
      </c>
      <c r="D84" s="19">
        <v>241980</v>
      </c>
      <c r="E84" s="21">
        <f t="shared" si="31"/>
        <v>241980</v>
      </c>
      <c r="F84" s="13">
        <f>200000+1250000</f>
        <v>1450000</v>
      </c>
      <c r="G84" s="13">
        <v>233799.34</v>
      </c>
      <c r="H84" s="13">
        <f t="shared" si="32"/>
        <v>1216200.6599999999</v>
      </c>
      <c r="I84" s="13">
        <f>69000+18000</f>
        <v>87000</v>
      </c>
      <c r="J84" s="13">
        <f>11500+20500</f>
        <v>32000</v>
      </c>
      <c r="K84" s="13">
        <f t="shared" si="33"/>
        <v>55000</v>
      </c>
      <c r="L84" s="13">
        <f>195000+173340+225000+57000</f>
        <v>650340</v>
      </c>
      <c r="M84" s="13">
        <v>195286.22</v>
      </c>
      <c r="N84" s="13">
        <f t="shared" si="34"/>
        <v>455053.78</v>
      </c>
      <c r="O84" s="2">
        <f t="shared" si="43"/>
        <v>2187340</v>
      </c>
      <c r="P84" s="2">
        <f t="shared" si="44"/>
        <v>461085.55999999994</v>
      </c>
      <c r="Q84" s="2">
        <f t="shared" si="35"/>
        <v>1726254.44</v>
      </c>
      <c r="R84" s="13">
        <f>20000</f>
        <v>20000</v>
      </c>
      <c r="S84" s="13">
        <v>0</v>
      </c>
      <c r="T84" s="13">
        <f t="shared" si="45"/>
        <v>20000</v>
      </c>
      <c r="U84" s="13">
        <v>190000</v>
      </c>
      <c r="V84" s="13">
        <v>190000</v>
      </c>
      <c r="W84" s="13">
        <f t="shared" si="46"/>
        <v>0</v>
      </c>
      <c r="X84" s="13">
        <v>0</v>
      </c>
      <c r="Y84" s="13">
        <v>0</v>
      </c>
      <c r="Z84" s="13">
        <f t="shared" si="36"/>
        <v>0</v>
      </c>
      <c r="AA84" s="13">
        <v>90000</v>
      </c>
      <c r="AB84" s="13">
        <v>50000</v>
      </c>
      <c r="AC84" s="13">
        <f t="shared" si="47"/>
        <v>40000</v>
      </c>
      <c r="AD84" s="13">
        <v>387900</v>
      </c>
      <c r="AE84" s="13">
        <v>0</v>
      </c>
      <c r="AF84" s="13">
        <f t="shared" si="37"/>
        <v>387900</v>
      </c>
      <c r="AG84" s="13">
        <v>1012900</v>
      </c>
      <c r="AH84" s="13">
        <v>207100</v>
      </c>
      <c r="AI84" s="13">
        <f t="shared" si="50"/>
        <v>805800</v>
      </c>
      <c r="AJ84" s="13">
        <v>130800</v>
      </c>
      <c r="AK84" s="13">
        <v>6240</v>
      </c>
      <c r="AL84" s="13">
        <f t="shared" si="38"/>
        <v>124560</v>
      </c>
      <c r="AM84" s="13">
        <v>1500000</v>
      </c>
      <c r="AN84" s="13">
        <v>0</v>
      </c>
      <c r="AO84" s="13">
        <f t="shared" si="51"/>
        <v>1500000</v>
      </c>
      <c r="AP84" s="13">
        <v>432000</v>
      </c>
      <c r="AQ84" s="13">
        <v>0</v>
      </c>
      <c r="AR84" s="13">
        <f t="shared" si="52"/>
        <v>432000</v>
      </c>
      <c r="AS84" s="13">
        <v>37000</v>
      </c>
      <c r="AT84" s="13">
        <v>32200</v>
      </c>
      <c r="AU84" s="13">
        <f t="shared" si="39"/>
        <v>4800</v>
      </c>
      <c r="AV84" s="13">
        <v>0</v>
      </c>
      <c r="AW84" s="13">
        <v>0</v>
      </c>
      <c r="AX84" s="13">
        <f t="shared" si="48"/>
        <v>0</v>
      </c>
      <c r="AY84" s="2">
        <f t="shared" si="40"/>
        <v>3780600</v>
      </c>
      <c r="AZ84" s="2">
        <f t="shared" si="40"/>
        <v>485540</v>
      </c>
      <c r="BA84" s="2">
        <f t="shared" si="29"/>
        <v>2858260</v>
      </c>
      <c r="BB84" s="13">
        <v>0</v>
      </c>
      <c r="BC84" s="13">
        <v>0</v>
      </c>
      <c r="BD84" s="13">
        <f t="shared" si="41"/>
        <v>0</v>
      </c>
      <c r="BE84" s="2">
        <f t="shared" si="30"/>
        <v>6471900</v>
      </c>
      <c r="BF84" s="2">
        <f t="shared" si="28"/>
        <v>1188605.56</v>
      </c>
      <c r="BG84" s="2">
        <f t="shared" si="42"/>
        <v>5283294.4399999995</v>
      </c>
      <c r="BH84" s="13">
        <v>722000</v>
      </c>
      <c r="BI84" s="13"/>
      <c r="BJ84" s="13">
        <f t="shared" si="49"/>
        <v>722000</v>
      </c>
    </row>
    <row r="85" spans="1:62" x14ac:dyDescent="0.55000000000000004">
      <c r="O85" s="15"/>
      <c r="P85" s="15"/>
      <c r="Q85" s="15"/>
      <c r="AY85" s="15"/>
      <c r="AZ85" s="15"/>
      <c r="BA85" s="15"/>
      <c r="BE85" s="15"/>
    </row>
    <row r="86" spans="1:62" x14ac:dyDescent="0.55000000000000004">
      <c r="BE86" s="15"/>
    </row>
  </sheetData>
  <mergeCells count="30">
    <mergeCell ref="U6:W6"/>
    <mergeCell ref="R6:T6"/>
    <mergeCell ref="O6:Q6"/>
    <mergeCell ref="BH6:BJ6"/>
    <mergeCell ref="BH4:BJ4"/>
    <mergeCell ref="AA6:AC6"/>
    <mergeCell ref="AD6:AF6"/>
    <mergeCell ref="AG6:AI6"/>
    <mergeCell ref="AJ6:AL6"/>
    <mergeCell ref="AM6:AO6"/>
    <mergeCell ref="AP6:AR6"/>
    <mergeCell ref="AS6:AU6"/>
    <mergeCell ref="BE5:BG6"/>
    <mergeCell ref="AV6:AX6"/>
    <mergeCell ref="A2:BG2"/>
    <mergeCell ref="A4:A7"/>
    <mergeCell ref="B4:B7"/>
    <mergeCell ref="C4:BG4"/>
    <mergeCell ref="C5:E5"/>
    <mergeCell ref="F5:Q5"/>
    <mergeCell ref="R5:T5"/>
    <mergeCell ref="U5:BA5"/>
    <mergeCell ref="BB5:BD5"/>
    <mergeCell ref="AY6:BA6"/>
    <mergeCell ref="BB6:BD6"/>
    <mergeCell ref="L6:N6"/>
    <mergeCell ref="I6:K6"/>
    <mergeCell ref="F6:H6"/>
    <mergeCell ref="C6:E6"/>
    <mergeCell ref="X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10</vt:i4>
      </vt:variant>
    </vt:vector>
  </HeadingPairs>
  <TitlesOfParts>
    <vt:vector size="18" baseType="lpstr">
      <vt:lpstr>รวมส่วนภูมิภาค(1+2+3+4+5)</vt:lpstr>
      <vt:lpstr>1.งบบุคลากร</vt:lpstr>
      <vt:lpstr>2.งบดำเนินงาน</vt:lpstr>
      <vt:lpstr>3.งบลงทุน</vt:lpstr>
      <vt:lpstr>4.งบอุดหนุน</vt:lpstr>
      <vt:lpstr>5.งบรายจ่ายอื่น</vt:lpstr>
      <vt:lpstr>รวมส่วนภูมิภาค(1+2+3+4+5) (2)</vt:lpstr>
      <vt:lpstr>Sheet6</vt:lpstr>
      <vt:lpstr>'2.งบดำเนินงาน'!Print_Area</vt:lpstr>
      <vt:lpstr>'5.งบรายจ่ายอื่น'!Print_Area</vt:lpstr>
      <vt:lpstr>'รวมส่วนภูมิภาค(1+2+3+4+5) (2)'!Print_Area</vt:lpstr>
      <vt:lpstr>'1.งบบุคลากร'!Print_Titles</vt:lpstr>
      <vt:lpstr>'2.งบดำเนินงาน'!Print_Titles</vt:lpstr>
      <vt:lpstr>'3.งบลงทุน'!Print_Titles</vt:lpstr>
      <vt:lpstr>'4.งบอุดหนุน'!Print_Titles</vt:lpstr>
      <vt:lpstr>'5.งบรายจ่ายอื่น'!Print_Titles</vt:lpstr>
      <vt:lpstr>'รวมส่วนภูมิภาค(1+2+3+4+5)'!Print_Titles</vt:lpstr>
      <vt:lpstr>'รวมส่วนภูมิภาค(1+2+3+4+5)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DELL_MOI</cp:lastModifiedBy>
  <cp:lastPrinted>2020-04-13T03:33:36Z</cp:lastPrinted>
  <dcterms:created xsi:type="dcterms:W3CDTF">2017-10-12T09:06:06Z</dcterms:created>
  <dcterms:modified xsi:type="dcterms:W3CDTF">2020-05-14T02:16:10Z</dcterms:modified>
</cp:coreProperties>
</file>